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otanka\Разное\"/>
    </mc:Choice>
  </mc:AlternateContent>
  <bookViews>
    <workbookView xWindow="120" yWindow="120" windowWidth="24855" windowHeight="9210"/>
  </bookViews>
  <sheets>
    <sheet name="Раскладка Алтай" sheetId="1" r:id="rId1"/>
    <sheet name="Закупка" sheetId="7" r:id="rId2"/>
    <sheet name="Меню" sheetId="5" r:id="rId3"/>
    <sheet name="Список продуктов" sheetId="4" r:id="rId4"/>
  </sheets>
  <definedNames>
    <definedName name="_xlnm._FilterDatabase" localSheetId="1" hidden="1">Закупка!$A$3:$F$72</definedName>
    <definedName name="_xlnm._FilterDatabase" localSheetId="3" hidden="1">'Список продуктов'!$A$3:$F$3</definedName>
    <definedName name="День1">Меню!$A$5:$N$11</definedName>
    <definedName name="День2">Меню!$A$14:$N$20</definedName>
    <definedName name="День3">Меню!$A$23:$N$29</definedName>
    <definedName name="День4">Меню!$A$32:$N$38</definedName>
    <definedName name="День5">Меню!$A$41:$N$47</definedName>
    <definedName name="Дни">Меню!$P$4:$P$8</definedName>
    <definedName name="Завтрак">Меню!$P$11:$P$12</definedName>
    <definedName name="обед">Меню!$P$13:$P$14</definedName>
    <definedName name="Продукты">'Список продуктов'!$A$4:$C$69</definedName>
    <definedName name="ужин">Меню!$P$15:$P$16</definedName>
  </definedNames>
  <calcPr calcId="152511"/>
</workbook>
</file>

<file path=xl/calcChain.xml><?xml version="1.0" encoding="utf-8"?>
<calcChain xmlns="http://schemas.openxmlformats.org/spreadsheetml/2006/main">
  <c r="C43" i="4" l="1"/>
  <c r="G43" i="4" s="1"/>
  <c r="C24" i="4"/>
  <c r="G24" i="4" s="1"/>
  <c r="D21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4" i="4"/>
  <c r="C41" i="4"/>
  <c r="N10" i="1"/>
  <c r="N5" i="1"/>
  <c r="C34" i="4"/>
  <c r="B23" i="1" l="1"/>
  <c r="B32" i="1" s="1"/>
  <c r="B41" i="1" s="1"/>
  <c r="B50" i="1" s="1"/>
  <c r="B59" i="1" s="1"/>
  <c r="B68" i="1" s="1"/>
  <c r="B77" i="1" s="1"/>
  <c r="B86" i="1" s="1"/>
  <c r="B95" i="1" s="1"/>
  <c r="B104" i="1" s="1"/>
  <c r="B113" i="1" s="1"/>
  <c r="B122" i="1" s="1"/>
  <c r="B131" i="1" s="1"/>
  <c r="B140" i="1" s="1"/>
  <c r="B149" i="1" s="1"/>
  <c r="B158" i="1" s="1"/>
  <c r="B167" i="1" s="1"/>
  <c r="B176" i="1" s="1"/>
  <c r="B185" i="1" s="1"/>
  <c r="B194" i="1" s="1"/>
  <c r="B203" i="1" s="1"/>
  <c r="F14" i="1" l="1"/>
  <c r="A23" i="1" l="1"/>
  <c r="F23" i="1" s="1"/>
  <c r="M50" i="1"/>
  <c r="L50" i="1"/>
  <c r="M49" i="1"/>
  <c r="L49" i="1"/>
  <c r="M41" i="1"/>
  <c r="L41" i="1"/>
  <c r="M40" i="1"/>
  <c r="L40" i="1"/>
  <c r="M32" i="1"/>
  <c r="L32" i="1"/>
  <c r="M31" i="1"/>
  <c r="L31" i="1"/>
  <c r="M23" i="1"/>
  <c r="L23" i="1"/>
  <c r="M22" i="1"/>
  <c r="L22" i="1"/>
  <c r="B2" i="5"/>
  <c r="D45" i="4" s="1"/>
  <c r="L7" i="5"/>
  <c r="M7" i="5"/>
  <c r="L8" i="5"/>
  <c r="M8" i="5"/>
  <c r="L9" i="5"/>
  <c r="M9" i="5"/>
  <c r="L10" i="5"/>
  <c r="M10" i="5"/>
  <c r="L11" i="5"/>
  <c r="M11" i="5"/>
  <c r="L12" i="5"/>
  <c r="M12" i="5"/>
  <c r="L13" i="5"/>
  <c r="M13" i="5"/>
  <c r="L15" i="5"/>
  <c r="M15" i="5"/>
  <c r="L16" i="5"/>
  <c r="M16" i="5"/>
  <c r="L17" i="5"/>
  <c r="M17" i="5"/>
  <c r="L18" i="5"/>
  <c r="M18" i="5"/>
  <c r="L19" i="5"/>
  <c r="M19" i="5"/>
  <c r="L20" i="5"/>
  <c r="M20" i="5"/>
  <c r="L21" i="5"/>
  <c r="M21" i="5"/>
  <c r="L22" i="5"/>
  <c r="M22" i="5"/>
  <c r="L24" i="5"/>
  <c r="M24" i="5"/>
  <c r="L25" i="5"/>
  <c r="M25" i="5"/>
  <c r="L26" i="5"/>
  <c r="M26" i="5"/>
  <c r="L27" i="5"/>
  <c r="M27" i="5"/>
  <c r="L28" i="5"/>
  <c r="M28" i="5"/>
  <c r="L29" i="5"/>
  <c r="M29" i="5"/>
  <c r="L30" i="5"/>
  <c r="M30" i="5"/>
  <c r="L31" i="5"/>
  <c r="M31" i="5"/>
  <c r="L33" i="5"/>
  <c r="M33" i="5"/>
  <c r="L34" i="5"/>
  <c r="M34" i="5"/>
  <c r="L35" i="5"/>
  <c r="L36" i="5"/>
  <c r="M36" i="5"/>
  <c r="L37" i="5"/>
  <c r="M37" i="5"/>
  <c r="L38" i="5"/>
  <c r="M38" i="5"/>
  <c r="L39" i="5"/>
  <c r="M39" i="5"/>
  <c r="L40" i="5"/>
  <c r="M40" i="5"/>
  <c r="L42" i="5"/>
  <c r="M42" i="5"/>
  <c r="L43" i="5"/>
  <c r="M43" i="5"/>
  <c r="L44" i="5"/>
  <c r="M44" i="5"/>
  <c r="L45" i="5"/>
  <c r="M45" i="5"/>
  <c r="L46" i="5"/>
  <c r="M46" i="5"/>
  <c r="L47" i="5"/>
  <c r="M47" i="5"/>
  <c r="M6" i="5"/>
  <c r="L6" i="5"/>
  <c r="H7" i="5"/>
  <c r="H8" i="5"/>
  <c r="H9" i="5"/>
  <c r="H10" i="5"/>
  <c r="H11" i="5"/>
  <c r="H15" i="5"/>
  <c r="H16" i="5"/>
  <c r="H17" i="5"/>
  <c r="H18" i="5"/>
  <c r="H19" i="5"/>
  <c r="H20" i="5"/>
  <c r="H24" i="5"/>
  <c r="H25" i="5"/>
  <c r="H26" i="5"/>
  <c r="H27" i="5"/>
  <c r="H28" i="5"/>
  <c r="H29" i="5"/>
  <c r="H33" i="5"/>
  <c r="H34" i="5"/>
  <c r="H35" i="5"/>
  <c r="H36" i="5"/>
  <c r="H37" i="5"/>
  <c r="H38" i="5"/>
  <c r="H42" i="5"/>
  <c r="H43" i="5"/>
  <c r="H44" i="5"/>
  <c r="H45" i="5"/>
  <c r="H46" i="5"/>
  <c r="H47" i="5"/>
  <c r="H6" i="5"/>
  <c r="C7" i="5"/>
  <c r="C8" i="5"/>
  <c r="C9" i="5"/>
  <c r="C10" i="5"/>
  <c r="C11" i="5"/>
  <c r="C15" i="5"/>
  <c r="C16" i="5"/>
  <c r="C17" i="5"/>
  <c r="C18" i="5"/>
  <c r="C24" i="5"/>
  <c r="C25" i="5"/>
  <c r="C26" i="5"/>
  <c r="C27" i="5"/>
  <c r="C28" i="5"/>
  <c r="C29" i="5"/>
  <c r="C33" i="5"/>
  <c r="C34" i="5"/>
  <c r="C35" i="5"/>
  <c r="C36" i="5"/>
  <c r="C42" i="5"/>
  <c r="C43" i="5"/>
  <c r="C44" i="5"/>
  <c r="C45" i="5"/>
  <c r="C46" i="5"/>
  <c r="C47" i="5"/>
  <c r="C6" i="5"/>
  <c r="G7" i="5"/>
  <c r="G8" i="5"/>
  <c r="G9" i="5"/>
  <c r="G10" i="5"/>
  <c r="G11" i="5"/>
  <c r="G15" i="5"/>
  <c r="G16" i="5"/>
  <c r="G17" i="5"/>
  <c r="G18" i="5"/>
  <c r="G19" i="5"/>
  <c r="G20" i="5"/>
  <c r="G24" i="5"/>
  <c r="G25" i="5"/>
  <c r="G26" i="5"/>
  <c r="G27" i="5"/>
  <c r="G28" i="5"/>
  <c r="G29" i="5"/>
  <c r="G33" i="5"/>
  <c r="G34" i="5"/>
  <c r="G35" i="5"/>
  <c r="G36" i="5"/>
  <c r="G37" i="5"/>
  <c r="G38" i="5"/>
  <c r="G42" i="5"/>
  <c r="G43" i="5"/>
  <c r="G44" i="5"/>
  <c r="G45" i="5"/>
  <c r="G46" i="5"/>
  <c r="G47" i="5"/>
  <c r="G6" i="5"/>
  <c r="B7" i="5"/>
  <c r="B8" i="5"/>
  <c r="B9" i="5"/>
  <c r="B10" i="5"/>
  <c r="B11" i="5"/>
  <c r="B15" i="5"/>
  <c r="B16" i="5"/>
  <c r="B17" i="5"/>
  <c r="B18" i="5"/>
  <c r="B19" i="5"/>
  <c r="B20" i="5"/>
  <c r="B24" i="5"/>
  <c r="B25" i="5"/>
  <c r="B26" i="5"/>
  <c r="B27" i="5"/>
  <c r="B28" i="5"/>
  <c r="B29" i="5"/>
  <c r="B33" i="5"/>
  <c r="B34" i="5"/>
  <c r="B35" i="5"/>
  <c r="B36" i="5"/>
  <c r="B37" i="5"/>
  <c r="B38" i="5"/>
  <c r="B42" i="5"/>
  <c r="B43" i="5"/>
  <c r="B44" i="5"/>
  <c r="B45" i="5"/>
  <c r="B46" i="5"/>
  <c r="B47" i="5"/>
  <c r="B6" i="5"/>
  <c r="H20" i="1"/>
  <c r="H17" i="1"/>
  <c r="G18" i="1"/>
  <c r="G21" i="1"/>
  <c r="F16" i="1"/>
  <c r="F20" i="1"/>
  <c r="H19" i="1"/>
  <c r="H16" i="1"/>
  <c r="G17" i="1"/>
  <c r="F19" i="1"/>
  <c r="H21" i="1"/>
  <c r="G16" i="1"/>
  <c r="H18" i="1"/>
  <c r="F17" i="1"/>
  <c r="F21" i="1"/>
  <c r="G19" i="1"/>
  <c r="F18" i="1"/>
  <c r="G20" i="1"/>
  <c r="C18" i="1"/>
  <c r="C20" i="1"/>
  <c r="B16" i="1"/>
  <c r="A19" i="1"/>
  <c r="C17" i="1"/>
  <c r="C16" i="1"/>
  <c r="A20" i="1"/>
  <c r="A17" i="1"/>
  <c r="B17" i="1"/>
  <c r="B19" i="1"/>
  <c r="B21" i="1"/>
  <c r="C21" i="1"/>
  <c r="C19" i="1"/>
  <c r="B20" i="1"/>
  <c r="B18" i="1"/>
  <c r="A18" i="1"/>
  <c r="A16" i="1"/>
  <c r="A21" i="1"/>
  <c r="L18" i="1"/>
  <c r="L17" i="1"/>
  <c r="M17" i="1"/>
  <c r="M21" i="1"/>
  <c r="K19" i="1"/>
  <c r="M16" i="1"/>
  <c r="M19" i="1"/>
  <c r="K17" i="1"/>
  <c r="L16" i="1"/>
  <c r="K20" i="1"/>
  <c r="M18" i="1"/>
  <c r="K18" i="1"/>
  <c r="L20" i="1"/>
  <c r="K21" i="1"/>
  <c r="K16" i="1"/>
  <c r="L19" i="1"/>
  <c r="M20" i="1"/>
  <c r="F25" i="1"/>
  <c r="L21" i="1"/>
  <c r="D7" i="4" l="1"/>
  <c r="D11" i="4"/>
  <c r="D15" i="4"/>
  <c r="D19" i="4"/>
  <c r="D23" i="4"/>
  <c r="D27" i="4"/>
  <c r="D31" i="4"/>
  <c r="D35" i="4"/>
  <c r="D39" i="4"/>
  <c r="D47" i="4"/>
  <c r="D51" i="4"/>
  <c r="D55" i="4"/>
  <c r="D59" i="4"/>
  <c r="D63" i="4"/>
  <c r="D6" i="4"/>
  <c r="D10" i="4"/>
  <c r="D14" i="4"/>
  <c r="D18" i="4"/>
  <c r="D22" i="4"/>
  <c r="D26" i="4"/>
  <c r="D30" i="4"/>
  <c r="D34" i="4"/>
  <c r="D38" i="4"/>
  <c r="D42" i="4"/>
  <c r="D46" i="4"/>
  <c r="D50" i="4"/>
  <c r="D54" i="4"/>
  <c r="D58" i="4"/>
  <c r="D62" i="4"/>
  <c r="D5" i="4"/>
  <c r="D9" i="4"/>
  <c r="D13" i="4"/>
  <c r="D17" i="4"/>
  <c r="D25" i="4"/>
  <c r="D33" i="4"/>
  <c r="D37" i="4"/>
  <c r="D41" i="4"/>
  <c r="D49" i="4"/>
  <c r="D53" i="4"/>
  <c r="D57" i="4"/>
  <c r="D61" i="4"/>
  <c r="D65" i="4"/>
  <c r="D4" i="4"/>
  <c r="D8" i="4"/>
  <c r="D12" i="4"/>
  <c r="D16" i="4"/>
  <c r="D20" i="4"/>
  <c r="D28" i="4"/>
  <c r="D32" i="4"/>
  <c r="D36" i="4"/>
  <c r="D40" i="4"/>
  <c r="D44" i="4"/>
  <c r="D48" i="4"/>
  <c r="D52" i="4"/>
  <c r="D56" i="4"/>
  <c r="D60" i="4"/>
  <c r="D64" i="4"/>
  <c r="D43" i="4"/>
  <c r="D24" i="4"/>
  <c r="D16" i="1"/>
  <c r="D20" i="1"/>
  <c r="I16" i="1"/>
  <c r="I18" i="1"/>
  <c r="D21" i="1"/>
  <c r="D17" i="1"/>
  <c r="I19" i="1"/>
  <c r="N16" i="1"/>
  <c r="N21" i="1"/>
  <c r="N19" i="1"/>
  <c r="N17" i="1"/>
  <c r="D18" i="1"/>
  <c r="I20" i="1"/>
  <c r="D19" i="1"/>
  <c r="I21" i="1"/>
  <c r="I17" i="1"/>
  <c r="N20" i="1"/>
  <c r="N18" i="1"/>
  <c r="N8" i="5"/>
  <c r="A32" i="1"/>
  <c r="F32" i="1" s="1"/>
  <c r="I46" i="5"/>
  <c r="I24" i="5"/>
  <c r="N43" i="5"/>
  <c r="N15" i="5"/>
  <c r="I28" i="5"/>
  <c r="N6" i="5"/>
  <c r="N19" i="5"/>
  <c r="I35" i="5"/>
  <c r="I10" i="5"/>
  <c r="N27" i="5"/>
  <c r="I42" i="5"/>
  <c r="I17" i="5"/>
  <c r="I47" i="5"/>
  <c r="I43" i="5"/>
  <c r="I36" i="5"/>
  <c r="I29" i="5"/>
  <c r="I25" i="5"/>
  <c r="I18" i="5"/>
  <c r="I11" i="5"/>
  <c r="I7" i="5"/>
  <c r="N44" i="5"/>
  <c r="N36" i="5"/>
  <c r="N28" i="5"/>
  <c r="N24" i="5"/>
  <c r="N16" i="5"/>
  <c r="N9" i="5"/>
  <c r="I6" i="5"/>
  <c r="I44" i="5"/>
  <c r="I37" i="5"/>
  <c r="I33" i="5"/>
  <c r="I26" i="5"/>
  <c r="I19" i="5"/>
  <c r="I15" i="5"/>
  <c r="I8" i="5"/>
  <c r="N45" i="5"/>
  <c r="N37" i="5"/>
  <c r="N33" i="5"/>
  <c r="N25" i="5"/>
  <c r="N17" i="5"/>
  <c r="N7" i="5"/>
  <c r="I45" i="5"/>
  <c r="I38" i="5"/>
  <c r="I34" i="5"/>
  <c r="I27" i="5"/>
  <c r="I20" i="5"/>
  <c r="I16" i="5"/>
  <c r="I9" i="5"/>
  <c r="N46" i="5"/>
  <c r="N42" i="5"/>
  <c r="N34" i="5"/>
  <c r="N26" i="5"/>
  <c r="N18" i="5"/>
  <c r="A27" i="1"/>
  <c r="K28" i="1"/>
  <c r="F28" i="1"/>
  <c r="A28" i="1"/>
  <c r="A25" i="1"/>
  <c r="K29" i="1"/>
  <c r="K30" i="1"/>
  <c r="A30" i="1"/>
  <c r="A26" i="1"/>
  <c r="F29" i="1"/>
  <c r="A29" i="1"/>
  <c r="K27" i="1"/>
  <c r="K26" i="1"/>
  <c r="F27" i="1"/>
  <c r="K25" i="1"/>
  <c r="F26" i="1"/>
  <c r="F30" i="1"/>
  <c r="M30" i="1" l="1"/>
  <c r="L30" i="1"/>
  <c r="G30" i="1"/>
  <c r="H30" i="1"/>
  <c r="I30" i="1" s="1"/>
  <c r="B30" i="1"/>
  <c r="L29" i="1"/>
  <c r="M29" i="1"/>
  <c r="G29" i="1"/>
  <c r="H29" i="1"/>
  <c r="I29" i="1" s="1"/>
  <c r="B29" i="1"/>
  <c r="M28" i="1"/>
  <c r="N28" i="1" s="1"/>
  <c r="L28" i="1"/>
  <c r="H28" i="1"/>
  <c r="I28" i="1" s="1"/>
  <c r="G28" i="1"/>
  <c r="C28" i="1"/>
  <c r="D28" i="1" s="1"/>
  <c r="B28" i="1"/>
  <c r="L27" i="1"/>
  <c r="M27" i="1"/>
  <c r="N27" i="1" s="1"/>
  <c r="H27" i="1"/>
  <c r="I27" i="1" s="1"/>
  <c r="G27" i="1"/>
  <c r="C27" i="1"/>
  <c r="D27" i="1" s="1"/>
  <c r="B27" i="1"/>
  <c r="M26" i="1"/>
  <c r="N26" i="1" s="1"/>
  <c r="L26" i="1"/>
  <c r="H26" i="1"/>
  <c r="I26" i="1" s="1"/>
  <c r="G26" i="1"/>
  <c r="C26" i="1"/>
  <c r="D26" i="1" s="1"/>
  <c r="B26" i="1"/>
  <c r="M25" i="1"/>
  <c r="N25" i="1" s="1"/>
  <c r="L25" i="1"/>
  <c r="H25" i="1"/>
  <c r="I25" i="1" s="1"/>
  <c r="G25" i="1"/>
  <c r="C25" i="1"/>
  <c r="D25" i="1" s="1"/>
  <c r="B25" i="1"/>
  <c r="A41" i="1"/>
  <c r="F41" i="1" s="1"/>
  <c r="D47" i="5"/>
  <c r="D46" i="5"/>
  <c r="D45" i="5"/>
  <c r="D44" i="5"/>
  <c r="D43" i="5"/>
  <c r="D42" i="5"/>
  <c r="D36" i="5"/>
  <c r="D35" i="5"/>
  <c r="D34" i="5"/>
  <c r="D33" i="5"/>
  <c r="D29" i="5"/>
  <c r="D28" i="5"/>
  <c r="D27" i="5"/>
  <c r="D26" i="5"/>
  <c r="D25" i="5"/>
  <c r="D24" i="5"/>
  <c r="D18" i="5"/>
  <c r="D17" i="5"/>
  <c r="D16" i="5"/>
  <c r="D15" i="5"/>
  <c r="D11" i="5"/>
  <c r="D10" i="5"/>
  <c r="D9" i="5"/>
  <c r="D8" i="5"/>
  <c r="D7" i="5"/>
  <c r="D6" i="5"/>
  <c r="C21" i="4"/>
  <c r="C29" i="4"/>
  <c r="K34" i="1"/>
  <c r="K39" i="1"/>
  <c r="A35" i="1"/>
  <c r="K37" i="1"/>
  <c r="A39" i="1"/>
  <c r="F37" i="1"/>
  <c r="A34" i="1"/>
  <c r="F34" i="1"/>
  <c r="F35" i="1"/>
  <c r="F36" i="1"/>
  <c r="A37" i="1"/>
  <c r="A36" i="1"/>
  <c r="K36" i="1"/>
  <c r="F39" i="1"/>
  <c r="A38" i="1"/>
  <c r="F38" i="1"/>
  <c r="K38" i="1"/>
  <c r="K35" i="1"/>
  <c r="D29" i="4" l="1"/>
  <c r="C19" i="5"/>
  <c r="D19" i="5" s="1"/>
  <c r="C37" i="5"/>
  <c r="D37" i="5" s="1"/>
  <c r="C29" i="1"/>
  <c r="D29" i="1" s="1"/>
  <c r="C30" i="1"/>
  <c r="D30" i="1" s="1"/>
  <c r="M35" i="5"/>
  <c r="N35" i="5" s="1"/>
  <c r="L39" i="1"/>
  <c r="M39" i="1"/>
  <c r="G39" i="1"/>
  <c r="H39" i="1"/>
  <c r="I39" i="1" s="1"/>
  <c r="C39" i="1"/>
  <c r="D39" i="1" s="1"/>
  <c r="B39" i="1"/>
  <c r="L38" i="1"/>
  <c r="M38" i="1"/>
  <c r="H38" i="1"/>
  <c r="I38" i="1" s="1"/>
  <c r="G38" i="1"/>
  <c r="C38" i="1"/>
  <c r="D38" i="1" s="1"/>
  <c r="B38" i="1"/>
  <c r="M37" i="1"/>
  <c r="N37" i="1" s="1"/>
  <c r="L37" i="1"/>
  <c r="H37" i="1"/>
  <c r="I37" i="1" s="1"/>
  <c r="G37" i="1"/>
  <c r="C37" i="1"/>
  <c r="D37" i="1" s="1"/>
  <c r="B37" i="1"/>
  <c r="M36" i="1"/>
  <c r="N36" i="1" s="1"/>
  <c r="L36" i="1"/>
  <c r="H36" i="1"/>
  <c r="I36" i="1" s="1"/>
  <c r="G36" i="1"/>
  <c r="C36" i="1"/>
  <c r="D36" i="1" s="1"/>
  <c r="B36" i="1"/>
  <c r="M35" i="1"/>
  <c r="N35" i="1" s="1"/>
  <c r="L35" i="1"/>
  <c r="H35" i="1"/>
  <c r="I35" i="1" s="1"/>
  <c r="G35" i="1"/>
  <c r="B35" i="1"/>
  <c r="C35" i="1"/>
  <c r="D35" i="1" s="1"/>
  <c r="M34" i="1"/>
  <c r="N34" i="1" s="1"/>
  <c r="L34" i="1"/>
  <c r="H34" i="1"/>
  <c r="I34" i="1" s="1"/>
  <c r="G34" i="1"/>
  <c r="C34" i="1"/>
  <c r="D34" i="1" s="1"/>
  <c r="B34" i="1"/>
  <c r="A50" i="1"/>
  <c r="F50" i="1" s="1"/>
  <c r="C20" i="5"/>
  <c r="D20" i="5" s="1"/>
  <c r="C38" i="5"/>
  <c r="D38" i="5" s="1"/>
  <c r="N11" i="1"/>
  <c r="D10" i="7" s="1"/>
  <c r="A45" i="1"/>
  <c r="F48" i="1"/>
  <c r="K46" i="1"/>
  <c r="A46" i="1"/>
  <c r="F47" i="1"/>
  <c r="K44" i="1"/>
  <c r="K48" i="1"/>
  <c r="K45" i="1"/>
  <c r="F45" i="1"/>
  <c r="K43" i="1"/>
  <c r="F46" i="1"/>
  <c r="F43" i="1"/>
  <c r="A43" i="1"/>
  <c r="A44" i="1"/>
  <c r="F44" i="1"/>
  <c r="A47" i="1"/>
  <c r="K47" i="1"/>
  <c r="A48" i="1"/>
  <c r="M48" i="1" l="1"/>
  <c r="L48" i="1"/>
  <c r="G48" i="1"/>
  <c r="H48" i="1"/>
  <c r="I48" i="1" s="1"/>
  <c r="C48" i="1"/>
  <c r="D48" i="1" s="1"/>
  <c r="B48" i="1"/>
  <c r="L47" i="1"/>
  <c r="M47" i="1"/>
  <c r="G47" i="1"/>
  <c r="H47" i="1"/>
  <c r="I47" i="1" s="1"/>
  <c r="C47" i="1"/>
  <c r="D47" i="1" s="1"/>
  <c r="B47" i="1"/>
  <c r="M46" i="1"/>
  <c r="N46" i="1" s="1"/>
  <c r="L46" i="1"/>
  <c r="H46" i="1"/>
  <c r="I46" i="1" s="1"/>
  <c r="G46" i="1"/>
  <c r="C46" i="1"/>
  <c r="D46" i="1" s="1"/>
  <c r="B46" i="1"/>
  <c r="L45" i="1"/>
  <c r="M45" i="1"/>
  <c r="N45" i="1" s="1"/>
  <c r="H45" i="1"/>
  <c r="I45" i="1" s="1"/>
  <c r="G45" i="1"/>
  <c r="C45" i="1"/>
  <c r="D45" i="1" s="1"/>
  <c r="B45" i="1"/>
  <c r="M44" i="1"/>
  <c r="N44" i="1" s="1"/>
  <c r="L44" i="1"/>
  <c r="H44" i="1"/>
  <c r="I44" i="1" s="1"/>
  <c r="G44" i="1"/>
  <c r="C44" i="1"/>
  <c r="D44" i="1" s="1"/>
  <c r="B44" i="1"/>
  <c r="M43" i="1"/>
  <c r="N43" i="1" s="1"/>
  <c r="L43" i="1"/>
  <c r="H43" i="1"/>
  <c r="I43" i="1" s="1"/>
  <c r="G43" i="1"/>
  <c r="C43" i="1"/>
  <c r="D43" i="1" s="1"/>
  <c r="B43" i="1"/>
  <c r="A59" i="1"/>
  <c r="F59" i="1" s="1"/>
  <c r="K52" i="1"/>
  <c r="F55" i="1"/>
  <c r="K56" i="1"/>
  <c r="A52" i="1"/>
  <c r="F53" i="1"/>
  <c r="K53" i="1"/>
  <c r="A55" i="1"/>
  <c r="A54" i="1"/>
  <c r="F52" i="1"/>
  <c r="F57" i="1"/>
  <c r="K55" i="1"/>
  <c r="K54" i="1"/>
  <c r="K57" i="1"/>
  <c r="A53" i="1"/>
  <c r="A57" i="1"/>
  <c r="F56" i="1"/>
  <c r="F54" i="1"/>
  <c r="A56" i="1"/>
  <c r="L57" i="1" l="1"/>
  <c r="M57" i="1"/>
  <c r="G57" i="1"/>
  <c r="H57" i="1"/>
  <c r="I57" i="1" s="1"/>
  <c r="C57" i="1"/>
  <c r="D57" i="1" s="1"/>
  <c r="B57" i="1"/>
  <c r="L56" i="1"/>
  <c r="M56" i="1"/>
  <c r="H56" i="1"/>
  <c r="I56" i="1" s="1"/>
  <c r="G56" i="1"/>
  <c r="B56" i="1"/>
  <c r="C56" i="1"/>
  <c r="D56" i="1" s="1"/>
  <c r="M55" i="1"/>
  <c r="N55" i="1" s="1"/>
  <c r="L55" i="1"/>
  <c r="H55" i="1"/>
  <c r="I55" i="1" s="1"/>
  <c r="G55" i="1"/>
  <c r="C55" i="1"/>
  <c r="D55" i="1" s="1"/>
  <c r="B55" i="1"/>
  <c r="M54" i="1"/>
  <c r="N54" i="1" s="1"/>
  <c r="L54" i="1"/>
  <c r="H54" i="1"/>
  <c r="I54" i="1" s="1"/>
  <c r="G54" i="1"/>
  <c r="C54" i="1"/>
  <c r="D54" i="1" s="1"/>
  <c r="B54" i="1"/>
  <c r="M53" i="1"/>
  <c r="N53" i="1" s="1"/>
  <c r="L53" i="1"/>
  <c r="H53" i="1"/>
  <c r="I53" i="1" s="1"/>
  <c r="G53" i="1"/>
  <c r="C53" i="1"/>
  <c r="D53" i="1" s="1"/>
  <c r="B53" i="1"/>
  <c r="M52" i="1"/>
  <c r="N52" i="1" s="1"/>
  <c r="L52" i="1"/>
  <c r="H52" i="1"/>
  <c r="I52" i="1" s="1"/>
  <c r="G52" i="1"/>
  <c r="C52" i="1"/>
  <c r="D52" i="1" s="1"/>
  <c r="B52" i="1"/>
  <c r="A68" i="1"/>
  <c r="F68" i="1" s="1"/>
  <c r="A63" i="1"/>
  <c r="F61" i="1"/>
  <c r="A64" i="1"/>
  <c r="F65" i="1"/>
  <c r="F62" i="1"/>
  <c r="A66" i="1"/>
  <c r="F64" i="1"/>
  <c r="A62" i="1"/>
  <c r="K65" i="1"/>
  <c r="A61" i="1"/>
  <c r="K66" i="1"/>
  <c r="A65" i="1"/>
  <c r="K64" i="1"/>
  <c r="F63" i="1"/>
  <c r="K61" i="1"/>
  <c r="K63" i="1"/>
  <c r="F66" i="1"/>
  <c r="K62" i="1"/>
  <c r="L66" i="1" l="1"/>
  <c r="M66" i="1"/>
  <c r="G66" i="1"/>
  <c r="H66" i="1"/>
  <c r="I66" i="1" s="1"/>
  <c r="C66" i="1"/>
  <c r="D66" i="1" s="1"/>
  <c r="B66" i="1"/>
  <c r="L65" i="1"/>
  <c r="M65" i="1"/>
  <c r="G65" i="1"/>
  <c r="H65" i="1"/>
  <c r="I65" i="1" s="1"/>
  <c r="C65" i="1"/>
  <c r="D65" i="1" s="1"/>
  <c r="B65" i="1"/>
  <c r="M64" i="1"/>
  <c r="N64" i="1" s="1"/>
  <c r="L64" i="1"/>
  <c r="H64" i="1"/>
  <c r="I64" i="1" s="1"/>
  <c r="G64" i="1"/>
  <c r="C64" i="1"/>
  <c r="D64" i="1" s="1"/>
  <c r="B64" i="1"/>
  <c r="M63" i="1"/>
  <c r="N63" i="1" s="1"/>
  <c r="L63" i="1"/>
  <c r="H63" i="1"/>
  <c r="I63" i="1" s="1"/>
  <c r="G63" i="1"/>
  <c r="C63" i="1"/>
  <c r="D63" i="1" s="1"/>
  <c r="B63" i="1"/>
  <c r="M62" i="1"/>
  <c r="N62" i="1" s="1"/>
  <c r="L62" i="1"/>
  <c r="H62" i="1"/>
  <c r="I62" i="1" s="1"/>
  <c r="G62" i="1"/>
  <c r="C62" i="1"/>
  <c r="D62" i="1" s="1"/>
  <c r="B62" i="1"/>
  <c r="M61" i="1"/>
  <c r="N61" i="1" s="1"/>
  <c r="L61" i="1"/>
  <c r="H61" i="1"/>
  <c r="I61" i="1" s="1"/>
  <c r="G61" i="1"/>
  <c r="C61" i="1"/>
  <c r="D61" i="1" s="1"/>
  <c r="B61" i="1"/>
  <c r="A77" i="1"/>
  <c r="F77" i="1" s="1"/>
  <c r="A75" i="1"/>
  <c r="K74" i="1"/>
  <c r="K70" i="1"/>
  <c r="K71" i="1"/>
  <c r="F75" i="1"/>
  <c r="F70" i="1"/>
  <c r="A71" i="1"/>
  <c r="F73" i="1"/>
  <c r="F72" i="1"/>
  <c r="F74" i="1"/>
  <c r="A74" i="1"/>
  <c r="K72" i="1"/>
  <c r="A73" i="1"/>
  <c r="A70" i="1"/>
  <c r="K73" i="1"/>
  <c r="K75" i="1"/>
  <c r="F71" i="1"/>
  <c r="A72" i="1"/>
  <c r="L75" i="1" l="1"/>
  <c r="M75" i="1"/>
  <c r="G75" i="1"/>
  <c r="H75" i="1"/>
  <c r="I75" i="1" s="1"/>
  <c r="B75" i="1"/>
  <c r="C75" i="1"/>
  <c r="D75" i="1" s="1"/>
  <c r="L74" i="1"/>
  <c r="M74" i="1"/>
  <c r="G74" i="1"/>
  <c r="H74" i="1"/>
  <c r="I74" i="1" s="1"/>
  <c r="C74" i="1"/>
  <c r="D74" i="1" s="1"/>
  <c r="B74" i="1"/>
  <c r="M73" i="1"/>
  <c r="N73" i="1" s="1"/>
  <c r="L73" i="1"/>
  <c r="H73" i="1"/>
  <c r="I73" i="1" s="1"/>
  <c r="G73" i="1"/>
  <c r="C73" i="1"/>
  <c r="D73" i="1" s="1"/>
  <c r="B73" i="1"/>
  <c r="M72" i="1"/>
  <c r="N72" i="1" s="1"/>
  <c r="L72" i="1"/>
  <c r="H72" i="1"/>
  <c r="I72" i="1" s="1"/>
  <c r="G72" i="1"/>
  <c r="C72" i="1"/>
  <c r="D72" i="1" s="1"/>
  <c r="B72" i="1"/>
  <c r="M71" i="1"/>
  <c r="N71" i="1" s="1"/>
  <c r="L71" i="1"/>
  <c r="G71" i="1"/>
  <c r="H71" i="1"/>
  <c r="I71" i="1" s="1"/>
  <c r="C71" i="1"/>
  <c r="D71" i="1" s="1"/>
  <c r="B71" i="1"/>
  <c r="M70" i="1"/>
  <c r="N70" i="1" s="1"/>
  <c r="L70" i="1"/>
  <c r="H70" i="1"/>
  <c r="I70" i="1" s="1"/>
  <c r="G70" i="1"/>
  <c r="C70" i="1"/>
  <c r="D70" i="1" s="1"/>
  <c r="B70" i="1"/>
  <c r="A86" i="1"/>
  <c r="F86" i="1" s="1"/>
  <c r="K79" i="1"/>
  <c r="A84" i="1"/>
  <c r="F80" i="1"/>
  <c r="F79" i="1"/>
  <c r="K82" i="1"/>
  <c r="K83" i="1"/>
  <c r="K84" i="1"/>
  <c r="F81" i="1"/>
  <c r="A83" i="1"/>
  <c r="K81" i="1"/>
  <c r="A79" i="1"/>
  <c r="F82" i="1"/>
  <c r="A81" i="1"/>
  <c r="F84" i="1"/>
  <c r="K80" i="1"/>
  <c r="A80" i="1"/>
  <c r="A82" i="1"/>
  <c r="F83" i="1"/>
  <c r="L84" i="1" l="1"/>
  <c r="M84" i="1"/>
  <c r="G84" i="1"/>
  <c r="H84" i="1"/>
  <c r="I84" i="1" s="1"/>
  <c r="C84" i="1"/>
  <c r="D84" i="1" s="1"/>
  <c r="B84" i="1"/>
  <c r="L83" i="1"/>
  <c r="M83" i="1"/>
  <c r="G83" i="1"/>
  <c r="H83" i="1"/>
  <c r="I83" i="1" s="1"/>
  <c r="B83" i="1"/>
  <c r="C83" i="1"/>
  <c r="D83" i="1" s="1"/>
  <c r="M82" i="1"/>
  <c r="N82" i="1" s="1"/>
  <c r="L82" i="1"/>
  <c r="H82" i="1"/>
  <c r="I82" i="1" s="1"/>
  <c r="G82" i="1"/>
  <c r="C82" i="1"/>
  <c r="D82" i="1" s="1"/>
  <c r="B82" i="1"/>
  <c r="M81" i="1"/>
  <c r="N81" i="1" s="1"/>
  <c r="L81" i="1"/>
  <c r="H81" i="1"/>
  <c r="I81" i="1" s="1"/>
  <c r="G81" i="1"/>
  <c r="C81" i="1"/>
  <c r="D81" i="1" s="1"/>
  <c r="B81" i="1"/>
  <c r="M80" i="1"/>
  <c r="N80" i="1" s="1"/>
  <c r="L80" i="1"/>
  <c r="H80" i="1"/>
  <c r="I80" i="1" s="1"/>
  <c r="G80" i="1"/>
  <c r="C80" i="1"/>
  <c r="D80" i="1" s="1"/>
  <c r="B80" i="1"/>
  <c r="M79" i="1"/>
  <c r="N79" i="1" s="1"/>
  <c r="L79" i="1"/>
  <c r="H79" i="1"/>
  <c r="I79" i="1" s="1"/>
  <c r="G79" i="1"/>
  <c r="C79" i="1"/>
  <c r="D79" i="1" s="1"/>
  <c r="B79" i="1"/>
  <c r="A95" i="1"/>
  <c r="F89" i="1"/>
  <c r="F90" i="1"/>
  <c r="A93" i="1"/>
  <c r="K89" i="1"/>
  <c r="K93" i="1"/>
  <c r="K88" i="1"/>
  <c r="F88" i="1"/>
  <c r="K90" i="1"/>
  <c r="A92" i="1"/>
  <c r="K92" i="1"/>
  <c r="A89" i="1"/>
  <c r="F92" i="1"/>
  <c r="F93" i="1"/>
  <c r="A88" i="1"/>
  <c r="A90" i="1"/>
  <c r="F91" i="1"/>
  <c r="K91" i="1"/>
  <c r="A91" i="1"/>
  <c r="F95" i="1" l="1"/>
  <c r="A104" i="1"/>
  <c r="F104" i="1" s="1"/>
  <c r="M93" i="1"/>
  <c r="L93" i="1"/>
  <c r="H93" i="1"/>
  <c r="I93" i="1" s="1"/>
  <c r="G93" i="1"/>
  <c r="C93" i="1"/>
  <c r="D93" i="1" s="1"/>
  <c r="B93" i="1"/>
  <c r="L92" i="1"/>
  <c r="M92" i="1"/>
  <c r="H92" i="1"/>
  <c r="I92" i="1" s="1"/>
  <c r="G92" i="1"/>
  <c r="C92" i="1"/>
  <c r="D92" i="1" s="1"/>
  <c r="B92" i="1"/>
  <c r="M91" i="1"/>
  <c r="N91" i="1" s="1"/>
  <c r="L91" i="1"/>
  <c r="H91" i="1"/>
  <c r="I91" i="1" s="1"/>
  <c r="G91" i="1"/>
  <c r="C91" i="1"/>
  <c r="D91" i="1" s="1"/>
  <c r="B91" i="1"/>
  <c r="M90" i="1"/>
  <c r="N90" i="1" s="1"/>
  <c r="L90" i="1"/>
  <c r="H90" i="1"/>
  <c r="I90" i="1" s="1"/>
  <c r="G90" i="1"/>
  <c r="B90" i="1"/>
  <c r="C90" i="1"/>
  <c r="D90" i="1" s="1"/>
  <c r="L89" i="1"/>
  <c r="M89" i="1"/>
  <c r="N89" i="1" s="1"/>
  <c r="G89" i="1"/>
  <c r="H89" i="1"/>
  <c r="I89" i="1" s="1"/>
  <c r="C89" i="1"/>
  <c r="D89" i="1" s="1"/>
  <c r="B89" i="1"/>
  <c r="M88" i="1"/>
  <c r="N88" i="1" s="1"/>
  <c r="L88" i="1"/>
  <c r="H88" i="1"/>
  <c r="I88" i="1" s="1"/>
  <c r="G88" i="1"/>
  <c r="C88" i="1"/>
  <c r="D88" i="1" s="1"/>
  <c r="B88" i="1"/>
  <c r="K102" i="1"/>
  <c r="A100" i="1"/>
  <c r="A101" i="1"/>
  <c r="F101" i="1"/>
  <c r="K101" i="1"/>
  <c r="A99" i="1"/>
  <c r="K100" i="1"/>
  <c r="F102" i="1"/>
  <c r="F98" i="1"/>
  <c r="F100" i="1"/>
  <c r="F99" i="1"/>
  <c r="A98" i="1"/>
  <c r="K99" i="1"/>
  <c r="A102" i="1"/>
  <c r="K98" i="1"/>
  <c r="F97" i="1"/>
  <c r="K97" i="1"/>
  <c r="A97" i="1"/>
  <c r="L102" i="1" l="1"/>
  <c r="M102" i="1"/>
  <c r="G102" i="1"/>
  <c r="H102" i="1"/>
  <c r="I102" i="1" s="1"/>
  <c r="B102" i="1"/>
  <c r="C102" i="1"/>
  <c r="D102" i="1" s="1"/>
  <c r="M101" i="1"/>
  <c r="L101" i="1"/>
  <c r="G101" i="1"/>
  <c r="H101" i="1"/>
  <c r="I101" i="1" s="1"/>
  <c r="B101" i="1"/>
  <c r="C101" i="1"/>
  <c r="D101" i="1" s="1"/>
  <c r="L100" i="1"/>
  <c r="M100" i="1"/>
  <c r="N100" i="1" s="1"/>
  <c r="G100" i="1"/>
  <c r="H100" i="1"/>
  <c r="I100" i="1" s="1"/>
  <c r="B100" i="1"/>
  <c r="C100" i="1"/>
  <c r="D100" i="1" s="1"/>
  <c r="L99" i="1"/>
  <c r="M99" i="1"/>
  <c r="N99" i="1" s="1"/>
  <c r="G99" i="1"/>
  <c r="H99" i="1"/>
  <c r="I99" i="1" s="1"/>
  <c r="B99" i="1"/>
  <c r="C99" i="1"/>
  <c r="D99" i="1" s="1"/>
  <c r="L98" i="1"/>
  <c r="M98" i="1"/>
  <c r="N98" i="1" s="1"/>
  <c r="G98" i="1"/>
  <c r="H98" i="1"/>
  <c r="I98" i="1" s="1"/>
  <c r="B98" i="1"/>
  <c r="C98" i="1"/>
  <c r="D98" i="1" s="1"/>
  <c r="M97" i="1"/>
  <c r="N97" i="1" s="1"/>
  <c r="L97" i="1"/>
  <c r="G97" i="1"/>
  <c r="H97" i="1"/>
  <c r="I97" i="1" s="1"/>
  <c r="B97" i="1"/>
  <c r="C97" i="1"/>
  <c r="D97" i="1" s="1"/>
  <c r="A113" i="1"/>
  <c r="F113" i="1" s="1"/>
  <c r="A110" i="1"/>
  <c r="K109" i="1"/>
  <c r="A107" i="1"/>
  <c r="F110" i="1"/>
  <c r="A111" i="1"/>
  <c r="F107" i="1"/>
  <c r="K108" i="1"/>
  <c r="A108" i="1"/>
  <c r="K110" i="1"/>
  <c r="F109" i="1"/>
  <c r="K107" i="1"/>
  <c r="F108" i="1"/>
  <c r="K111" i="1"/>
  <c r="K106" i="1"/>
  <c r="F106" i="1"/>
  <c r="A109" i="1"/>
  <c r="A106" i="1"/>
  <c r="F111" i="1"/>
  <c r="L111" i="1" l="1"/>
  <c r="M111" i="1"/>
  <c r="G111" i="1"/>
  <c r="H111" i="1"/>
  <c r="I111" i="1" s="1"/>
  <c r="B111" i="1"/>
  <c r="C111" i="1"/>
  <c r="D111" i="1" s="1"/>
  <c r="L110" i="1"/>
  <c r="M110" i="1"/>
  <c r="G110" i="1"/>
  <c r="H110" i="1"/>
  <c r="I110" i="1" s="1"/>
  <c r="C110" i="1"/>
  <c r="D110" i="1" s="1"/>
  <c r="B110" i="1"/>
  <c r="M109" i="1"/>
  <c r="N109" i="1" s="1"/>
  <c r="L109" i="1"/>
  <c r="G109" i="1"/>
  <c r="H109" i="1"/>
  <c r="I109" i="1" s="1"/>
  <c r="B109" i="1"/>
  <c r="C109" i="1"/>
  <c r="D109" i="1" s="1"/>
  <c r="L108" i="1"/>
  <c r="M108" i="1"/>
  <c r="N108" i="1" s="1"/>
  <c r="G108" i="1"/>
  <c r="H108" i="1"/>
  <c r="I108" i="1" s="1"/>
  <c r="B108" i="1"/>
  <c r="C108" i="1"/>
  <c r="D108" i="1" s="1"/>
  <c r="M107" i="1"/>
  <c r="N107" i="1" s="1"/>
  <c r="L107" i="1"/>
  <c r="H107" i="1"/>
  <c r="I107" i="1" s="1"/>
  <c r="G107" i="1"/>
  <c r="B107" i="1"/>
  <c r="C107" i="1"/>
  <c r="D107" i="1" s="1"/>
  <c r="L106" i="1"/>
  <c r="M106" i="1"/>
  <c r="N106" i="1" s="1"/>
  <c r="G106" i="1"/>
  <c r="H106" i="1"/>
  <c r="I106" i="1" s="1"/>
  <c r="B106" i="1"/>
  <c r="C106" i="1"/>
  <c r="D106" i="1" s="1"/>
  <c r="A122" i="1"/>
  <c r="F122" i="1" s="1"/>
  <c r="F118" i="1"/>
  <c r="F120" i="1"/>
  <c r="F119" i="1"/>
  <c r="A116" i="1"/>
  <c r="K116" i="1"/>
  <c r="K119" i="1"/>
  <c r="A117" i="1"/>
  <c r="K115" i="1"/>
  <c r="A118" i="1"/>
  <c r="K117" i="1"/>
  <c r="F117" i="1"/>
  <c r="K118" i="1"/>
  <c r="K120" i="1"/>
  <c r="A119" i="1"/>
  <c r="A120" i="1"/>
  <c r="A115" i="1"/>
  <c r="F116" i="1"/>
  <c r="F115" i="1"/>
  <c r="L120" i="1" l="1"/>
  <c r="M120" i="1"/>
  <c r="G120" i="1"/>
  <c r="H120" i="1"/>
  <c r="I120" i="1" s="1"/>
  <c r="B120" i="1"/>
  <c r="C120" i="1"/>
  <c r="D120" i="1" s="1"/>
  <c r="L119" i="1"/>
  <c r="M119" i="1"/>
  <c r="G119" i="1"/>
  <c r="H119" i="1"/>
  <c r="I119" i="1" s="1"/>
  <c r="B119" i="1"/>
  <c r="C119" i="1"/>
  <c r="D119" i="1" s="1"/>
  <c r="L118" i="1"/>
  <c r="M118" i="1"/>
  <c r="N118" i="1" s="1"/>
  <c r="G118" i="1"/>
  <c r="H118" i="1"/>
  <c r="I118" i="1" s="1"/>
  <c r="B118" i="1"/>
  <c r="C118" i="1"/>
  <c r="D118" i="1" s="1"/>
  <c r="L117" i="1"/>
  <c r="M117" i="1"/>
  <c r="N117" i="1" s="1"/>
  <c r="G117" i="1"/>
  <c r="H117" i="1"/>
  <c r="I117" i="1" s="1"/>
  <c r="B117" i="1"/>
  <c r="C117" i="1"/>
  <c r="D117" i="1" s="1"/>
  <c r="L116" i="1"/>
  <c r="M116" i="1"/>
  <c r="N116" i="1" s="1"/>
  <c r="G116" i="1"/>
  <c r="H116" i="1"/>
  <c r="I116" i="1" s="1"/>
  <c r="B116" i="1"/>
  <c r="C116" i="1"/>
  <c r="D116" i="1" s="1"/>
  <c r="L115" i="1"/>
  <c r="M115" i="1"/>
  <c r="N115" i="1" s="1"/>
  <c r="G115" i="1"/>
  <c r="H115" i="1"/>
  <c r="I115" i="1" s="1"/>
  <c r="B115" i="1"/>
  <c r="C115" i="1"/>
  <c r="D115" i="1" s="1"/>
  <c r="A131" i="1"/>
  <c r="F131" i="1" s="1"/>
  <c r="F126" i="1"/>
  <c r="A124" i="1"/>
  <c r="K127" i="1"/>
  <c r="K128" i="1"/>
  <c r="F127" i="1"/>
  <c r="K129" i="1"/>
  <c r="K124" i="1"/>
  <c r="A126" i="1"/>
  <c r="A125" i="1"/>
  <c r="K126" i="1"/>
  <c r="F125" i="1"/>
  <c r="F129" i="1"/>
  <c r="K125" i="1"/>
  <c r="F124" i="1"/>
  <c r="F128" i="1"/>
  <c r="A129" i="1"/>
  <c r="A128" i="1"/>
  <c r="A127" i="1"/>
  <c r="L129" i="1" l="1"/>
  <c r="M129" i="1"/>
  <c r="G129" i="1"/>
  <c r="H129" i="1"/>
  <c r="I129" i="1" s="1"/>
  <c r="B129" i="1"/>
  <c r="C129" i="1"/>
  <c r="D129" i="1" s="1"/>
  <c r="L128" i="1"/>
  <c r="M128" i="1"/>
  <c r="G128" i="1"/>
  <c r="H128" i="1"/>
  <c r="I128" i="1" s="1"/>
  <c r="C128" i="1"/>
  <c r="D128" i="1" s="1"/>
  <c r="B128" i="1"/>
  <c r="M127" i="1"/>
  <c r="N127" i="1" s="1"/>
  <c r="L127" i="1"/>
  <c r="H127" i="1"/>
  <c r="I127" i="1" s="1"/>
  <c r="G127" i="1"/>
  <c r="B127" i="1"/>
  <c r="C127" i="1"/>
  <c r="D127" i="1" s="1"/>
  <c r="L126" i="1"/>
  <c r="M126" i="1"/>
  <c r="N126" i="1" s="1"/>
  <c r="H126" i="1"/>
  <c r="I126" i="1" s="1"/>
  <c r="G126" i="1"/>
  <c r="C126" i="1"/>
  <c r="D126" i="1" s="1"/>
  <c r="B126" i="1"/>
  <c r="M125" i="1"/>
  <c r="N125" i="1" s="1"/>
  <c r="L125" i="1"/>
  <c r="H125" i="1"/>
  <c r="I125" i="1" s="1"/>
  <c r="G125" i="1"/>
  <c r="B125" i="1"/>
  <c r="C125" i="1"/>
  <c r="D125" i="1" s="1"/>
  <c r="L124" i="1"/>
  <c r="M124" i="1"/>
  <c r="N124" i="1" s="1"/>
  <c r="G124" i="1"/>
  <c r="H124" i="1"/>
  <c r="I124" i="1" s="1"/>
  <c r="B124" i="1"/>
  <c r="C124" i="1"/>
  <c r="D124" i="1" s="1"/>
  <c r="A140" i="1"/>
  <c r="F140" i="1" s="1"/>
  <c r="F138" i="1"/>
  <c r="A135" i="1"/>
  <c r="A138" i="1"/>
  <c r="F135" i="1"/>
  <c r="A134" i="1"/>
  <c r="A133" i="1"/>
  <c r="K135" i="1"/>
  <c r="A137" i="1"/>
  <c r="F137" i="1"/>
  <c r="F134" i="1"/>
  <c r="K134" i="1"/>
  <c r="F133" i="1"/>
  <c r="K138" i="1"/>
  <c r="A136" i="1"/>
  <c r="F136" i="1"/>
  <c r="K137" i="1"/>
  <c r="K136" i="1"/>
  <c r="K133" i="1"/>
  <c r="M138" i="1" l="1"/>
  <c r="L138" i="1"/>
  <c r="G138" i="1"/>
  <c r="H138" i="1"/>
  <c r="I138" i="1" s="1"/>
  <c r="B138" i="1"/>
  <c r="C138" i="1"/>
  <c r="D138" i="1" s="1"/>
  <c r="L137" i="1"/>
  <c r="M137" i="1"/>
  <c r="G137" i="1"/>
  <c r="H137" i="1"/>
  <c r="I137" i="1" s="1"/>
  <c r="B137" i="1"/>
  <c r="C137" i="1"/>
  <c r="D137" i="1" s="1"/>
  <c r="L136" i="1"/>
  <c r="M136" i="1"/>
  <c r="N136" i="1" s="1"/>
  <c r="H136" i="1"/>
  <c r="I136" i="1" s="1"/>
  <c r="G136" i="1"/>
  <c r="B136" i="1"/>
  <c r="C136" i="1"/>
  <c r="D136" i="1" s="1"/>
  <c r="L135" i="1"/>
  <c r="M135" i="1"/>
  <c r="N135" i="1" s="1"/>
  <c r="G135" i="1"/>
  <c r="H135" i="1"/>
  <c r="I135" i="1" s="1"/>
  <c r="B135" i="1"/>
  <c r="C135" i="1"/>
  <c r="D135" i="1" s="1"/>
  <c r="L134" i="1"/>
  <c r="M134" i="1"/>
  <c r="N134" i="1" s="1"/>
  <c r="H134" i="1"/>
  <c r="I134" i="1" s="1"/>
  <c r="G134" i="1"/>
  <c r="B134" i="1"/>
  <c r="C134" i="1"/>
  <c r="D134" i="1" s="1"/>
  <c r="L133" i="1"/>
  <c r="M133" i="1"/>
  <c r="N133" i="1" s="1"/>
  <c r="G133" i="1"/>
  <c r="H133" i="1"/>
  <c r="I133" i="1" s="1"/>
  <c r="B133" i="1"/>
  <c r="C133" i="1"/>
  <c r="D133" i="1" s="1"/>
  <c r="A149" i="1"/>
  <c r="F149" i="1" s="1"/>
  <c r="K147" i="1"/>
  <c r="K145" i="1"/>
  <c r="A147" i="1"/>
  <c r="A145" i="1"/>
  <c r="A143" i="1"/>
  <c r="K142" i="1"/>
  <c r="F147" i="1"/>
  <c r="A146" i="1"/>
  <c r="F143" i="1"/>
  <c r="A144" i="1"/>
  <c r="A142" i="1"/>
  <c r="K146" i="1"/>
  <c r="F145" i="1"/>
  <c r="F142" i="1"/>
  <c r="F146" i="1"/>
  <c r="K143" i="1"/>
  <c r="K144" i="1"/>
  <c r="F144" i="1"/>
  <c r="M147" i="1" l="1"/>
  <c r="L147" i="1"/>
  <c r="G147" i="1"/>
  <c r="H147" i="1"/>
  <c r="I147" i="1" s="1"/>
  <c r="B147" i="1"/>
  <c r="C147" i="1"/>
  <c r="D147" i="1" s="1"/>
  <c r="L146" i="1"/>
  <c r="M146" i="1"/>
  <c r="G146" i="1"/>
  <c r="H146" i="1"/>
  <c r="I146" i="1" s="1"/>
  <c r="C146" i="1"/>
  <c r="D146" i="1" s="1"/>
  <c r="B146" i="1"/>
  <c r="L145" i="1"/>
  <c r="M145" i="1"/>
  <c r="N145" i="1" s="1"/>
  <c r="G145" i="1"/>
  <c r="H145" i="1"/>
  <c r="I145" i="1" s="1"/>
  <c r="B145" i="1"/>
  <c r="C145" i="1"/>
  <c r="D145" i="1" s="1"/>
  <c r="L144" i="1"/>
  <c r="M144" i="1"/>
  <c r="N144" i="1" s="1"/>
  <c r="G144" i="1"/>
  <c r="H144" i="1"/>
  <c r="I144" i="1" s="1"/>
  <c r="B144" i="1"/>
  <c r="C144" i="1"/>
  <c r="D144" i="1" s="1"/>
  <c r="L143" i="1"/>
  <c r="M143" i="1"/>
  <c r="N143" i="1" s="1"/>
  <c r="G143" i="1"/>
  <c r="H143" i="1"/>
  <c r="I143" i="1" s="1"/>
  <c r="B143" i="1"/>
  <c r="C143" i="1"/>
  <c r="D143" i="1" s="1"/>
  <c r="L142" i="1"/>
  <c r="M142" i="1"/>
  <c r="N142" i="1" s="1"/>
  <c r="G142" i="1"/>
  <c r="H142" i="1"/>
  <c r="I142" i="1" s="1"/>
  <c r="B142" i="1"/>
  <c r="C142" i="1"/>
  <c r="D142" i="1" s="1"/>
  <c r="A158" i="1"/>
  <c r="F158" i="1" s="1"/>
  <c r="A152" i="1"/>
  <c r="F154" i="1"/>
  <c r="K154" i="1"/>
  <c r="F156" i="1"/>
  <c r="K156" i="1"/>
  <c r="K152" i="1"/>
  <c r="A151" i="1"/>
  <c r="A153" i="1"/>
  <c r="F151" i="1"/>
  <c r="F153" i="1"/>
  <c r="F152" i="1"/>
  <c r="K155" i="1"/>
  <c r="A155" i="1"/>
  <c r="A156" i="1"/>
  <c r="A154" i="1"/>
  <c r="F155" i="1"/>
  <c r="K153" i="1"/>
  <c r="K151" i="1"/>
  <c r="L156" i="1" l="1"/>
  <c r="M156" i="1"/>
  <c r="G156" i="1"/>
  <c r="H156" i="1"/>
  <c r="I156" i="1" s="1"/>
  <c r="B156" i="1"/>
  <c r="C156" i="1"/>
  <c r="D156" i="1" s="1"/>
  <c r="L155" i="1"/>
  <c r="M155" i="1"/>
  <c r="G155" i="1"/>
  <c r="H155" i="1"/>
  <c r="I155" i="1" s="1"/>
  <c r="C155" i="1"/>
  <c r="D155" i="1" s="1"/>
  <c r="B155" i="1"/>
  <c r="L154" i="1"/>
  <c r="M154" i="1"/>
  <c r="N154" i="1" s="1"/>
  <c r="G154" i="1"/>
  <c r="H154" i="1"/>
  <c r="I154" i="1" s="1"/>
  <c r="B154" i="1"/>
  <c r="C154" i="1"/>
  <c r="D154" i="1" s="1"/>
  <c r="L153" i="1"/>
  <c r="M153" i="1"/>
  <c r="N153" i="1" s="1"/>
  <c r="G153" i="1"/>
  <c r="H153" i="1"/>
  <c r="I153" i="1" s="1"/>
  <c r="B153" i="1"/>
  <c r="C153" i="1"/>
  <c r="D153" i="1" s="1"/>
  <c r="L152" i="1"/>
  <c r="M152" i="1"/>
  <c r="N152" i="1" s="1"/>
  <c r="G152" i="1"/>
  <c r="H152" i="1"/>
  <c r="I152" i="1" s="1"/>
  <c r="C152" i="1"/>
  <c r="D152" i="1" s="1"/>
  <c r="B152" i="1"/>
  <c r="L151" i="1"/>
  <c r="M151" i="1"/>
  <c r="N151" i="1" s="1"/>
  <c r="G151" i="1"/>
  <c r="H151" i="1"/>
  <c r="I151" i="1" s="1"/>
  <c r="B151" i="1"/>
  <c r="C151" i="1"/>
  <c r="D151" i="1" s="1"/>
  <c r="A167" i="1"/>
  <c r="F167" i="1" s="1"/>
  <c r="A165" i="1"/>
  <c r="A163" i="1"/>
  <c r="K160" i="1"/>
  <c r="K161" i="1"/>
  <c r="A164" i="1"/>
  <c r="F165" i="1"/>
  <c r="A161" i="1"/>
  <c r="K163" i="1"/>
  <c r="F160" i="1"/>
  <c r="F161" i="1"/>
  <c r="K162" i="1"/>
  <c r="K165" i="1"/>
  <c r="K164" i="1"/>
  <c r="F164" i="1"/>
  <c r="A160" i="1"/>
  <c r="A162" i="1"/>
  <c r="F163" i="1"/>
  <c r="F162" i="1"/>
  <c r="M165" i="1" l="1"/>
  <c r="L165" i="1"/>
  <c r="G165" i="1"/>
  <c r="H165" i="1"/>
  <c r="I165" i="1" s="1"/>
  <c r="B165" i="1"/>
  <c r="C165" i="1"/>
  <c r="D165" i="1" s="1"/>
  <c r="L164" i="1"/>
  <c r="M164" i="1"/>
  <c r="G164" i="1"/>
  <c r="H164" i="1"/>
  <c r="I164" i="1" s="1"/>
  <c r="B164" i="1"/>
  <c r="C164" i="1"/>
  <c r="D164" i="1" s="1"/>
  <c r="L163" i="1"/>
  <c r="M163" i="1"/>
  <c r="N163" i="1" s="1"/>
  <c r="G163" i="1"/>
  <c r="H163" i="1"/>
  <c r="I163" i="1" s="1"/>
  <c r="B163" i="1"/>
  <c r="C163" i="1"/>
  <c r="D163" i="1" s="1"/>
  <c r="L162" i="1"/>
  <c r="M162" i="1"/>
  <c r="N162" i="1" s="1"/>
  <c r="G162" i="1"/>
  <c r="H162" i="1"/>
  <c r="I162" i="1" s="1"/>
  <c r="B162" i="1"/>
  <c r="C162" i="1"/>
  <c r="D162" i="1" s="1"/>
  <c r="L161" i="1"/>
  <c r="M161" i="1"/>
  <c r="N161" i="1" s="1"/>
  <c r="G161" i="1"/>
  <c r="H161" i="1"/>
  <c r="I161" i="1" s="1"/>
  <c r="B161" i="1"/>
  <c r="C161" i="1"/>
  <c r="D161" i="1" s="1"/>
  <c r="L160" i="1"/>
  <c r="M160" i="1"/>
  <c r="N160" i="1" s="1"/>
  <c r="H160" i="1"/>
  <c r="I160" i="1" s="1"/>
  <c r="G160" i="1"/>
  <c r="B160" i="1"/>
  <c r="C160" i="1"/>
  <c r="D160" i="1" s="1"/>
  <c r="A176" i="1"/>
  <c r="F176" i="1" s="1"/>
  <c r="A171" i="1"/>
  <c r="A174" i="1"/>
  <c r="A172" i="1"/>
  <c r="K169" i="1"/>
  <c r="F172" i="1"/>
  <c r="A173" i="1"/>
  <c r="K174" i="1"/>
  <c r="A169" i="1"/>
  <c r="F173" i="1"/>
  <c r="K172" i="1"/>
  <c r="K173" i="1"/>
  <c r="F171" i="1"/>
  <c r="K170" i="1"/>
  <c r="K171" i="1"/>
  <c r="A170" i="1"/>
  <c r="F174" i="1"/>
  <c r="F169" i="1"/>
  <c r="F170" i="1"/>
  <c r="L174" i="1" l="1"/>
  <c r="M174" i="1"/>
  <c r="G174" i="1"/>
  <c r="H174" i="1"/>
  <c r="I174" i="1" s="1"/>
  <c r="C174" i="1"/>
  <c r="D174" i="1" s="1"/>
  <c r="B174" i="1"/>
  <c r="L173" i="1"/>
  <c r="M173" i="1"/>
  <c r="H173" i="1"/>
  <c r="I173" i="1" s="1"/>
  <c r="G173" i="1"/>
  <c r="C173" i="1"/>
  <c r="D173" i="1" s="1"/>
  <c r="B173" i="1"/>
  <c r="M172" i="1"/>
  <c r="N172" i="1" s="1"/>
  <c r="L172" i="1"/>
  <c r="H172" i="1"/>
  <c r="I172" i="1" s="1"/>
  <c r="G172" i="1"/>
  <c r="C172" i="1"/>
  <c r="D172" i="1" s="1"/>
  <c r="B172" i="1"/>
  <c r="L171" i="1"/>
  <c r="M171" i="1"/>
  <c r="N171" i="1" s="1"/>
  <c r="G171" i="1"/>
  <c r="H171" i="1"/>
  <c r="I171" i="1" s="1"/>
  <c r="B171" i="1"/>
  <c r="C171" i="1"/>
  <c r="D171" i="1" s="1"/>
  <c r="L170" i="1"/>
  <c r="M170" i="1"/>
  <c r="N170" i="1" s="1"/>
  <c r="G170" i="1"/>
  <c r="H170" i="1"/>
  <c r="I170" i="1" s="1"/>
  <c r="B170" i="1"/>
  <c r="C170" i="1"/>
  <c r="D170" i="1" s="1"/>
  <c r="L169" i="1"/>
  <c r="M169" i="1"/>
  <c r="N169" i="1" s="1"/>
  <c r="G169" i="1"/>
  <c r="H169" i="1"/>
  <c r="I169" i="1" s="1"/>
  <c r="B169" i="1"/>
  <c r="C169" i="1"/>
  <c r="D169" i="1" s="1"/>
  <c r="A185" i="1"/>
  <c r="F185" i="1" s="1"/>
  <c r="F179" i="1"/>
  <c r="K179" i="1"/>
  <c r="F183" i="1"/>
  <c r="A182" i="1"/>
  <c r="A179" i="1"/>
  <c r="F181" i="1"/>
  <c r="K178" i="1"/>
  <c r="K181" i="1"/>
  <c r="F178" i="1"/>
  <c r="K180" i="1"/>
  <c r="F180" i="1"/>
  <c r="A181" i="1"/>
  <c r="K182" i="1"/>
  <c r="A180" i="1"/>
  <c r="F182" i="1"/>
  <c r="K183" i="1"/>
  <c r="A178" i="1"/>
  <c r="A183" i="1"/>
  <c r="M183" i="1" l="1"/>
  <c r="L183" i="1"/>
  <c r="G183" i="1"/>
  <c r="H183" i="1"/>
  <c r="I183" i="1" s="1"/>
  <c r="B183" i="1"/>
  <c r="C183" i="1"/>
  <c r="D183" i="1" s="1"/>
  <c r="L182" i="1"/>
  <c r="M182" i="1"/>
  <c r="H182" i="1"/>
  <c r="I182" i="1" s="1"/>
  <c r="G182" i="1"/>
  <c r="B182" i="1"/>
  <c r="C182" i="1"/>
  <c r="D182" i="1" s="1"/>
  <c r="L181" i="1"/>
  <c r="M181" i="1"/>
  <c r="N181" i="1" s="1"/>
  <c r="G181" i="1"/>
  <c r="H181" i="1"/>
  <c r="I181" i="1" s="1"/>
  <c r="B181" i="1"/>
  <c r="C181" i="1"/>
  <c r="D181" i="1" s="1"/>
  <c r="L180" i="1"/>
  <c r="M180" i="1"/>
  <c r="N180" i="1" s="1"/>
  <c r="G180" i="1"/>
  <c r="H180" i="1"/>
  <c r="I180" i="1" s="1"/>
  <c r="B180" i="1"/>
  <c r="C180" i="1"/>
  <c r="D180" i="1" s="1"/>
  <c r="L179" i="1"/>
  <c r="M179" i="1"/>
  <c r="N179" i="1" s="1"/>
  <c r="G179" i="1"/>
  <c r="H179" i="1"/>
  <c r="I179" i="1" s="1"/>
  <c r="B179" i="1"/>
  <c r="C179" i="1"/>
  <c r="D179" i="1" s="1"/>
  <c r="L178" i="1"/>
  <c r="M178" i="1"/>
  <c r="N178" i="1" s="1"/>
  <c r="G178" i="1"/>
  <c r="H178" i="1"/>
  <c r="I178" i="1" s="1"/>
  <c r="B178" i="1"/>
  <c r="C178" i="1"/>
  <c r="D178" i="1" s="1"/>
  <c r="A194" i="1"/>
  <c r="F194" i="1" s="1"/>
  <c r="F191" i="1"/>
  <c r="K190" i="1"/>
  <c r="K187" i="1"/>
  <c r="A192" i="1"/>
  <c r="A190" i="1"/>
  <c r="F188" i="1"/>
  <c r="F190" i="1"/>
  <c r="F187" i="1"/>
  <c r="A188" i="1"/>
  <c r="F189" i="1"/>
  <c r="K189" i="1"/>
  <c r="A191" i="1"/>
  <c r="K191" i="1"/>
  <c r="K192" i="1"/>
  <c r="A189" i="1"/>
  <c r="K188" i="1"/>
  <c r="A187" i="1"/>
  <c r="F192" i="1"/>
  <c r="M192" i="1" l="1"/>
  <c r="L192" i="1"/>
  <c r="G192" i="1"/>
  <c r="H192" i="1"/>
  <c r="I192" i="1" s="1"/>
  <c r="B192" i="1"/>
  <c r="C192" i="1"/>
  <c r="D192" i="1" s="1"/>
  <c r="L191" i="1"/>
  <c r="M191" i="1"/>
  <c r="G191" i="1"/>
  <c r="H191" i="1"/>
  <c r="I191" i="1" s="1"/>
  <c r="B191" i="1"/>
  <c r="C191" i="1"/>
  <c r="D191" i="1" s="1"/>
  <c r="L190" i="1"/>
  <c r="M190" i="1"/>
  <c r="N190" i="1" s="1"/>
  <c r="H190" i="1"/>
  <c r="I190" i="1" s="1"/>
  <c r="G190" i="1"/>
  <c r="B190" i="1"/>
  <c r="C190" i="1"/>
  <c r="D190" i="1" s="1"/>
  <c r="L189" i="1"/>
  <c r="M189" i="1"/>
  <c r="N189" i="1" s="1"/>
  <c r="G189" i="1"/>
  <c r="H189" i="1"/>
  <c r="I189" i="1" s="1"/>
  <c r="B189" i="1"/>
  <c r="C189" i="1"/>
  <c r="D189" i="1" s="1"/>
  <c r="L188" i="1"/>
  <c r="M188" i="1"/>
  <c r="N188" i="1" s="1"/>
  <c r="G188" i="1"/>
  <c r="H188" i="1"/>
  <c r="I188" i="1" s="1"/>
  <c r="B188" i="1"/>
  <c r="C188" i="1"/>
  <c r="D188" i="1" s="1"/>
  <c r="L187" i="1"/>
  <c r="M187" i="1"/>
  <c r="N187" i="1" s="1"/>
  <c r="G187" i="1"/>
  <c r="H187" i="1"/>
  <c r="I187" i="1" s="1"/>
  <c r="B187" i="1"/>
  <c r="C187" i="1"/>
  <c r="D187" i="1" s="1"/>
  <c r="A203" i="1"/>
  <c r="F203" i="1" s="1"/>
  <c r="F210" i="1"/>
  <c r="K207" i="1"/>
  <c r="F205" i="1"/>
  <c r="F199" i="1"/>
  <c r="K210" i="1"/>
  <c r="F196" i="1"/>
  <c r="A197" i="1"/>
  <c r="A206" i="1"/>
  <c r="A196" i="1"/>
  <c r="A200" i="1"/>
  <c r="A198" i="1"/>
  <c r="K209" i="1"/>
  <c r="F207" i="1"/>
  <c r="F206" i="1"/>
  <c r="F197" i="1"/>
  <c r="A209" i="1"/>
  <c r="A207" i="1"/>
  <c r="K208" i="1"/>
  <c r="K206" i="1"/>
  <c r="F198" i="1"/>
  <c r="A210" i="1"/>
  <c r="F200" i="1"/>
  <c r="K199" i="1"/>
  <c r="A208" i="1"/>
  <c r="A199" i="1"/>
  <c r="F201" i="1"/>
  <c r="K201" i="1"/>
  <c r="A201" i="1"/>
  <c r="K197" i="1"/>
  <c r="K205" i="1"/>
  <c r="K196" i="1"/>
  <c r="K200" i="1"/>
  <c r="F209" i="1"/>
  <c r="F208" i="1"/>
  <c r="K198" i="1"/>
  <c r="A205" i="1"/>
  <c r="L210" i="1" l="1"/>
  <c r="M210" i="1"/>
  <c r="G210" i="1"/>
  <c r="H210" i="1"/>
  <c r="I210" i="1" s="1"/>
  <c r="B210" i="1"/>
  <c r="C210" i="1"/>
  <c r="D210" i="1" s="1"/>
  <c r="L209" i="1"/>
  <c r="M209" i="1"/>
  <c r="G209" i="1"/>
  <c r="H209" i="1"/>
  <c r="I209" i="1" s="1"/>
  <c r="B209" i="1"/>
  <c r="C209" i="1"/>
  <c r="D209" i="1" s="1"/>
  <c r="L208" i="1"/>
  <c r="M208" i="1"/>
  <c r="N208" i="1" s="1"/>
  <c r="G208" i="1"/>
  <c r="H208" i="1"/>
  <c r="I208" i="1" s="1"/>
  <c r="B208" i="1"/>
  <c r="C208" i="1"/>
  <c r="D208" i="1" s="1"/>
  <c r="L207" i="1"/>
  <c r="M207" i="1"/>
  <c r="N207" i="1" s="1"/>
  <c r="G207" i="1"/>
  <c r="H207" i="1"/>
  <c r="I207" i="1" s="1"/>
  <c r="B207" i="1"/>
  <c r="C207" i="1"/>
  <c r="D207" i="1" s="1"/>
  <c r="L206" i="1"/>
  <c r="M206" i="1"/>
  <c r="N206" i="1" s="1"/>
  <c r="G206" i="1"/>
  <c r="H206" i="1"/>
  <c r="I206" i="1" s="1"/>
  <c r="B206" i="1"/>
  <c r="C206" i="1"/>
  <c r="D206" i="1" s="1"/>
  <c r="L205" i="1"/>
  <c r="M205" i="1"/>
  <c r="N205" i="1" s="1"/>
  <c r="G205" i="1"/>
  <c r="H205" i="1"/>
  <c r="I205" i="1" s="1"/>
  <c r="B205" i="1"/>
  <c r="C205" i="1"/>
  <c r="D205" i="1" s="1"/>
  <c r="L201" i="1"/>
  <c r="M201" i="1"/>
  <c r="G201" i="1"/>
  <c r="H201" i="1"/>
  <c r="I201" i="1" s="1"/>
  <c r="B201" i="1"/>
  <c r="C201" i="1"/>
  <c r="D201" i="1" s="1"/>
  <c r="L200" i="1"/>
  <c r="M200" i="1"/>
  <c r="G200" i="1"/>
  <c r="H200" i="1"/>
  <c r="I200" i="1" s="1"/>
  <c r="B200" i="1"/>
  <c r="C200" i="1"/>
  <c r="D200" i="1" s="1"/>
  <c r="M199" i="1"/>
  <c r="N199" i="1" s="1"/>
  <c r="L199" i="1"/>
  <c r="G199" i="1"/>
  <c r="H199" i="1"/>
  <c r="I199" i="1" s="1"/>
  <c r="B199" i="1"/>
  <c r="C199" i="1"/>
  <c r="D199" i="1" s="1"/>
  <c r="L198" i="1"/>
  <c r="M198" i="1"/>
  <c r="N198" i="1" s="1"/>
  <c r="G198" i="1"/>
  <c r="H198" i="1"/>
  <c r="I198" i="1" s="1"/>
  <c r="B198" i="1"/>
  <c r="C198" i="1"/>
  <c r="D198" i="1" s="1"/>
  <c r="L197" i="1"/>
  <c r="M197" i="1"/>
  <c r="N197" i="1" s="1"/>
  <c r="G197" i="1"/>
  <c r="H197" i="1"/>
  <c r="I197" i="1" s="1"/>
  <c r="B197" i="1"/>
  <c r="C197" i="1"/>
  <c r="D197" i="1" s="1"/>
  <c r="L196" i="1"/>
  <c r="M196" i="1"/>
  <c r="N196" i="1" s="1"/>
  <c r="G196" i="1"/>
  <c r="H196" i="1"/>
  <c r="I196" i="1" s="1"/>
  <c r="B196" i="1"/>
  <c r="C196" i="1"/>
  <c r="D196" i="1" s="1"/>
  <c r="E18" i="4" l="1"/>
  <c r="F18" i="4" s="1"/>
  <c r="E45" i="4"/>
  <c r="F45" i="4" s="1"/>
  <c r="E29" i="4"/>
  <c r="F29" i="4" s="1"/>
  <c r="E34" i="4"/>
  <c r="F34" i="4" s="1"/>
  <c r="E21" i="4"/>
  <c r="F21" i="4" s="1"/>
  <c r="E44" i="4"/>
  <c r="F44" i="4" s="1"/>
  <c r="E12" i="4"/>
  <c r="F12" i="4" s="1"/>
  <c r="E13" i="4"/>
  <c r="F13" i="4" s="1"/>
  <c r="E56" i="4"/>
  <c r="F56" i="4" s="1"/>
  <c r="E42" i="4"/>
  <c r="F42" i="4" s="1"/>
  <c r="E7" i="4"/>
  <c r="F7" i="4" s="1"/>
  <c r="E8" i="4"/>
  <c r="F8" i="4" s="1"/>
  <c r="E9" i="4"/>
  <c r="F9" i="4" s="1"/>
  <c r="E51" i="4"/>
  <c r="F51" i="4" s="1"/>
  <c r="E64" i="4"/>
  <c r="F64" i="4" s="1"/>
  <c r="E22" i="4"/>
  <c r="F22" i="4" s="1"/>
  <c r="E19" i="4"/>
  <c r="F19" i="4" s="1"/>
  <c r="E47" i="4"/>
  <c r="F47" i="4" s="1"/>
  <c r="E48" i="4"/>
  <c r="F48" i="4" s="1"/>
  <c r="E55" i="4"/>
  <c r="F55" i="4" s="1"/>
  <c r="E40" i="4"/>
  <c r="F40" i="4" s="1"/>
  <c r="E63" i="4"/>
  <c r="F63" i="4" s="1"/>
  <c r="E26" i="4"/>
  <c r="F26" i="4" s="1"/>
  <c r="E31" i="4"/>
  <c r="F31" i="4" s="1"/>
  <c r="E32" i="4"/>
  <c r="F32" i="4" s="1"/>
  <c r="E61" i="4"/>
  <c r="F61" i="4" s="1"/>
  <c r="E52" i="4"/>
  <c r="F52" i="4" s="1"/>
  <c r="E33" i="4"/>
  <c r="F33" i="4" s="1"/>
  <c r="E57" i="4"/>
  <c r="F57" i="4" s="1"/>
  <c r="E62" i="4"/>
  <c r="F62" i="4" s="1"/>
  <c r="E6" i="4"/>
  <c r="F6" i="4" s="1"/>
  <c r="E14" i="4"/>
  <c r="F14" i="4" s="1"/>
  <c r="E24" i="4"/>
  <c r="F24" i="4" s="1"/>
  <c r="E25" i="4"/>
  <c r="F25" i="4" s="1"/>
  <c r="E30" i="4"/>
  <c r="F30" i="4" s="1"/>
  <c r="E15" i="4"/>
  <c r="F15" i="4" s="1"/>
  <c r="E54" i="4"/>
  <c r="F54" i="4" s="1"/>
  <c r="E59" i="4"/>
  <c r="F59" i="4" s="1"/>
  <c r="E60" i="4"/>
  <c r="F60" i="4" s="1"/>
  <c r="E5" i="4"/>
  <c r="F5" i="4" s="1"/>
  <c r="E46" i="4"/>
  <c r="F46" i="4" s="1"/>
  <c r="E50" i="4"/>
  <c r="F50" i="4" s="1"/>
  <c r="E35" i="4"/>
  <c r="F35" i="4" s="1"/>
  <c r="E17" i="4"/>
  <c r="F17" i="4" s="1"/>
  <c r="E38" i="4"/>
  <c r="F38" i="4" s="1"/>
  <c r="E27" i="4"/>
  <c r="F27" i="4" s="1"/>
  <c r="E4" i="4"/>
  <c r="F4" i="4" s="1"/>
  <c r="E10" i="4"/>
  <c r="F10" i="4" s="1"/>
  <c r="E16" i="4"/>
  <c r="F16" i="4" s="1"/>
  <c r="E43" i="4"/>
  <c r="F43" i="4" s="1"/>
  <c r="E28" i="4"/>
  <c r="F28" i="4" s="1"/>
  <c r="E36" i="4"/>
  <c r="F36" i="4" s="1"/>
  <c r="E37" i="4"/>
  <c r="F37" i="4" s="1"/>
  <c r="E58" i="4"/>
  <c r="F58" i="4" s="1"/>
  <c r="E23" i="4"/>
  <c r="F23" i="4" s="1"/>
  <c r="E39" i="4"/>
  <c r="F39" i="4" s="1"/>
  <c r="E41" i="4"/>
  <c r="F41" i="4" s="1"/>
  <c r="E11" i="4"/>
  <c r="F11" i="4" s="1"/>
  <c r="E20" i="4"/>
  <c r="F20" i="4" s="1"/>
  <c r="E49" i="4"/>
  <c r="F49" i="4" s="1"/>
  <c r="E53" i="4"/>
  <c r="F53" i="4" s="1"/>
  <c r="E65" i="4"/>
  <c r="F65" i="4" s="1"/>
  <c r="A14" i="7"/>
  <c r="A21" i="7" l="1"/>
  <c r="C21" i="7" s="1"/>
  <c r="D21" i="7" s="1"/>
  <c r="A17" i="7"/>
  <c r="A62" i="7"/>
  <c r="E62" i="7" s="1"/>
  <c r="A29" i="7"/>
  <c r="C29" i="7" s="1"/>
  <c r="D29" i="7" s="1"/>
  <c r="A36" i="7"/>
  <c r="C36" i="7" s="1"/>
  <c r="D36" i="7" s="1"/>
  <c r="A19" i="7"/>
  <c r="A59" i="7"/>
  <c r="C59" i="7" s="1"/>
  <c r="D59" i="7" s="1"/>
  <c r="A25" i="7"/>
  <c r="A16" i="7"/>
  <c r="C16" i="7" s="1"/>
  <c r="D16" i="7" s="1"/>
  <c r="A28" i="7"/>
  <c r="C28" i="7" s="1"/>
  <c r="D28" i="7" s="1"/>
  <c r="A64" i="7"/>
  <c r="E64" i="7" s="1"/>
  <c r="A47" i="7"/>
  <c r="C47" i="7" s="1"/>
  <c r="D47" i="7" s="1"/>
  <c r="A39" i="7"/>
  <c r="C39" i="7" s="1"/>
  <c r="D39" i="7" s="1"/>
  <c r="A26" i="7"/>
  <c r="A63" i="7"/>
  <c r="E63" i="7" s="1"/>
  <c r="A42" i="7"/>
  <c r="C42" i="7" s="1"/>
  <c r="D42" i="7" s="1"/>
  <c r="A45" i="7"/>
  <c r="C45" i="7" s="1"/>
  <c r="D45" i="7" s="1"/>
  <c r="A67" i="7"/>
  <c r="E67" i="7" s="1"/>
  <c r="A13" i="7"/>
  <c r="C13" i="7" s="1"/>
  <c r="D13" i="7" s="1"/>
  <c r="A37" i="7"/>
  <c r="C37" i="7" s="1"/>
  <c r="D37" i="7" s="1"/>
  <c r="A11" i="7"/>
  <c r="A15" i="7"/>
  <c r="A20" i="7"/>
  <c r="C20" i="7" s="1"/>
  <c r="D20" i="7" s="1"/>
  <c r="A24" i="7"/>
  <c r="C24" i="7" s="1"/>
  <c r="D24" i="7" s="1"/>
  <c r="A40" i="7"/>
  <c r="C40" i="7" s="1"/>
  <c r="D40" i="7" s="1"/>
  <c r="A12" i="7"/>
  <c r="C12" i="7" s="1"/>
  <c r="D12" i="7" s="1"/>
  <c r="A46" i="7"/>
  <c r="C46" i="7" s="1"/>
  <c r="D46" i="7" s="1"/>
  <c r="A43" i="7"/>
  <c r="C43" i="7" s="1"/>
  <c r="D43" i="7" s="1"/>
  <c r="A41" i="7"/>
  <c r="C41" i="7" s="1"/>
  <c r="D41" i="7" s="1"/>
  <c r="A56" i="7"/>
  <c r="C56" i="7" s="1"/>
  <c r="D56" i="7" s="1"/>
  <c r="A32" i="7"/>
  <c r="C32" i="7" s="1"/>
  <c r="D32" i="7" s="1"/>
  <c r="A49" i="7"/>
  <c r="C49" i="7" s="1"/>
  <c r="D49" i="7" s="1"/>
  <c r="A52" i="7"/>
  <c r="A66" i="7"/>
  <c r="E66" i="7" s="1"/>
  <c r="A58" i="7"/>
  <c r="C58" i="7" s="1"/>
  <c r="D58" i="7" s="1"/>
  <c r="A69" i="7"/>
  <c r="E69" i="7" s="1"/>
  <c r="A54" i="7"/>
  <c r="C54" i="7" s="1"/>
  <c r="D54" i="7" s="1"/>
  <c r="A68" i="7"/>
  <c r="A27" i="7"/>
  <c r="C27" i="7" s="1"/>
  <c r="D27" i="7" s="1"/>
  <c r="A61" i="7"/>
  <c r="E61" i="7" s="1"/>
  <c r="A53" i="7"/>
  <c r="C53" i="7" s="1"/>
  <c r="D53" i="7" s="1"/>
  <c r="A31" i="7"/>
  <c r="C31" i="7" s="1"/>
  <c r="D31" i="7" s="1"/>
  <c r="A18" i="7"/>
  <c r="C18" i="7" s="1"/>
  <c r="D18" i="7" s="1"/>
  <c r="A44" i="7"/>
  <c r="C44" i="7" s="1"/>
  <c r="D44" i="7" s="1"/>
  <c r="A30" i="7"/>
  <c r="C30" i="7" s="1"/>
  <c r="D30" i="7" s="1"/>
  <c r="A48" i="7"/>
  <c r="A65" i="7"/>
  <c r="E65" i="7" s="1"/>
  <c r="A34" i="7"/>
  <c r="C34" i="7" s="1"/>
  <c r="D34" i="7" s="1"/>
  <c r="A57" i="7"/>
  <c r="C57" i="7" s="1"/>
  <c r="D57" i="7" s="1"/>
  <c r="A50" i="7"/>
  <c r="C50" i="7" s="1"/>
  <c r="D50" i="7" s="1"/>
  <c r="A35" i="7"/>
  <c r="C35" i="7" s="1"/>
  <c r="D35" i="7" s="1"/>
  <c r="A72" i="7"/>
  <c r="E72" i="7" s="1"/>
  <c r="A60" i="7"/>
  <c r="E60" i="7" s="1"/>
  <c r="A22" i="7"/>
  <c r="A38" i="7"/>
  <c r="C38" i="7" s="1"/>
  <c r="D38" i="7" s="1"/>
  <c r="A70" i="7"/>
  <c r="E70" i="7" s="1"/>
  <c r="A71" i="7"/>
  <c r="E71" i="7" s="1"/>
  <c r="A23" i="7"/>
  <c r="C23" i="7" s="1"/>
  <c r="D23" i="7" s="1"/>
  <c r="A55" i="7"/>
  <c r="C55" i="7" s="1"/>
  <c r="D55" i="7" s="1"/>
  <c r="A33" i="7"/>
  <c r="C33" i="7" s="1"/>
  <c r="D33" i="7" s="1"/>
  <c r="A51" i="7"/>
  <c r="E51" i="7" s="1"/>
  <c r="E68" i="7"/>
  <c r="B64" i="7"/>
  <c r="C19" i="7"/>
  <c r="D19" i="7" s="1"/>
  <c r="C17" i="7"/>
  <c r="D17" i="7" s="1"/>
  <c r="C48" i="7"/>
  <c r="D48" i="7" s="1"/>
  <c r="C26" i="7"/>
  <c r="D26" i="7" s="1"/>
  <c r="D25" i="7"/>
  <c r="C15" i="7"/>
  <c r="D15" i="7" s="1"/>
  <c r="C14" i="7"/>
  <c r="D14" i="7" s="1"/>
  <c r="C22" i="7"/>
  <c r="D22" i="7" s="1"/>
  <c r="B67" i="7" l="1"/>
  <c r="C64" i="7"/>
  <c r="D64" i="7" s="1"/>
  <c r="F64" i="7" s="1"/>
  <c r="C51" i="7"/>
  <c r="D51" i="7" s="1"/>
  <c r="F51" i="7" s="1"/>
  <c r="C70" i="7"/>
  <c r="D70" i="7" s="1"/>
  <c r="F70" i="7" s="1"/>
  <c r="B70" i="7"/>
  <c r="B66" i="7"/>
  <c r="C62" i="7"/>
  <c r="D62" i="7" s="1"/>
  <c r="F62" i="7" s="1"/>
  <c r="B68" i="7"/>
  <c r="B72" i="7"/>
  <c r="B69" i="7"/>
  <c r="C61" i="7"/>
  <c r="D61" i="7" s="1"/>
  <c r="F61" i="7" s="1"/>
  <c r="B60" i="7"/>
  <c r="C71" i="7"/>
  <c r="D71" i="7" s="1"/>
  <c r="F71" i="7" s="1"/>
  <c r="C65" i="7"/>
  <c r="D65" i="7" s="1"/>
  <c r="F65" i="7" s="1"/>
  <c r="B63" i="7"/>
  <c r="B65" i="7"/>
  <c r="C72" i="7"/>
  <c r="D72" i="7" s="1"/>
  <c r="F72" i="7" s="1"/>
  <c r="C66" i="7"/>
  <c r="D66" i="7" s="1"/>
  <c r="F66" i="7" s="1"/>
  <c r="C68" i="7"/>
  <c r="D68" i="7" s="1"/>
  <c r="F68" i="7" s="1"/>
  <c r="B71" i="7"/>
  <c r="C63" i="7"/>
  <c r="D63" i="7" s="1"/>
  <c r="F63" i="7" s="1"/>
  <c r="B61" i="7"/>
  <c r="C60" i="7"/>
  <c r="D60" i="7" s="1"/>
  <c r="F60" i="7" s="1"/>
  <c r="B62" i="7"/>
  <c r="C69" i="7"/>
  <c r="D69" i="7" s="1"/>
  <c r="F69" i="7" s="1"/>
  <c r="C67" i="7"/>
  <c r="D67" i="7" s="1"/>
  <c r="F67" i="7" s="1"/>
  <c r="B52" i="7"/>
  <c r="C52" i="7"/>
  <c r="D52" i="7" s="1"/>
  <c r="C11" i="7"/>
  <c r="D11" i="7" s="1"/>
  <c r="E58" i="7"/>
  <c r="F58" i="7" s="1"/>
  <c r="B58" i="7"/>
  <c r="E57" i="7"/>
  <c r="F57" i="7" s="1"/>
  <c r="B57" i="7"/>
  <c r="E59" i="7"/>
  <c r="F59" i="7" s="1"/>
  <c r="B59" i="7"/>
  <c r="E55" i="7"/>
  <c r="F55" i="7" s="1"/>
  <c r="B55" i="7"/>
  <c r="E56" i="7"/>
  <c r="F56" i="7" s="1"/>
  <c r="B56" i="7"/>
  <c r="E54" i="7"/>
  <c r="F54" i="7" s="1"/>
  <c r="B54" i="7"/>
  <c r="E53" i="7"/>
  <c r="F53" i="7" s="1"/>
  <c r="B53" i="7"/>
  <c r="E27" i="7"/>
  <c r="F27" i="7" s="1"/>
  <c r="B27" i="7"/>
  <c r="E46" i="7"/>
  <c r="F46" i="7" s="1"/>
  <c r="B46" i="7"/>
  <c r="E45" i="7"/>
  <c r="F45" i="7" s="1"/>
  <c r="B45" i="7"/>
  <c r="B51" i="7"/>
  <c r="E38" i="7"/>
  <c r="F38" i="7" s="1"/>
  <c r="B38" i="7"/>
  <c r="E25" i="7"/>
  <c r="F25" i="7" s="1"/>
  <c r="B25" i="7"/>
  <c r="E43" i="7"/>
  <c r="F43" i="7" s="1"/>
  <c r="B43" i="7"/>
  <c r="E24" i="7"/>
  <c r="F24" i="7" s="1"/>
  <c r="B24" i="7"/>
  <c r="E47" i="7"/>
  <c r="F47" i="7" s="1"/>
  <c r="B47" i="7"/>
  <c r="E42" i="7"/>
  <c r="F42" i="7" s="1"/>
  <c r="B42" i="7"/>
  <c r="E23" i="7"/>
  <c r="F23" i="7" s="1"/>
  <c r="B23" i="7"/>
  <c r="E40" i="7"/>
  <c r="F40" i="7" s="1"/>
  <c r="B40" i="7"/>
  <c r="E35" i="7"/>
  <c r="F35" i="7" s="1"/>
  <c r="B35" i="7"/>
  <c r="E48" i="7"/>
  <c r="F48" i="7" s="1"/>
  <c r="B48" i="7"/>
  <c r="E39" i="7"/>
  <c r="F39" i="7" s="1"/>
  <c r="B39" i="7"/>
  <c r="E52" i="7"/>
  <c r="E28" i="7"/>
  <c r="F28" i="7" s="1"/>
  <c r="B28" i="7"/>
  <c r="E29" i="7"/>
  <c r="F29" i="7" s="1"/>
  <c r="B29" i="7"/>
  <c r="E32" i="7"/>
  <c r="F32" i="7" s="1"/>
  <c r="B32" i="7"/>
  <c r="E41" i="7"/>
  <c r="F41" i="7" s="1"/>
  <c r="B41" i="7"/>
  <c r="E26" i="7"/>
  <c r="F26" i="7" s="1"/>
  <c r="B26" i="7"/>
  <c r="E37" i="7"/>
  <c r="F37" i="7" s="1"/>
  <c r="B37" i="7"/>
  <c r="E50" i="7"/>
  <c r="F50" i="7" s="1"/>
  <c r="B50" i="7"/>
  <c r="E36" i="7"/>
  <c r="F36" i="7" s="1"/>
  <c r="B36" i="7"/>
  <c r="E30" i="7"/>
  <c r="F30" i="7" s="1"/>
  <c r="B30" i="7"/>
  <c r="E31" i="7"/>
  <c r="F31" i="7" s="1"/>
  <c r="B31" i="7"/>
  <c r="E34" i="7"/>
  <c r="F34" i="7" s="1"/>
  <c r="B34" i="7"/>
  <c r="E33" i="7"/>
  <c r="F33" i="7" s="1"/>
  <c r="B33" i="7"/>
  <c r="E44" i="7"/>
  <c r="F44" i="7" s="1"/>
  <c r="B44" i="7"/>
  <c r="E49" i="7"/>
  <c r="F49" i="7" s="1"/>
  <c r="B49" i="7"/>
  <c r="E21" i="7"/>
  <c r="F21" i="7" s="1"/>
  <c r="B21" i="7"/>
  <c r="E16" i="7"/>
  <c r="F16" i="7" s="1"/>
  <c r="B16" i="7"/>
  <c r="E22" i="7"/>
  <c r="F22" i="7" s="1"/>
  <c r="B22" i="7"/>
  <c r="E17" i="7"/>
  <c r="F17" i="7" s="1"/>
  <c r="B17" i="7"/>
  <c r="E13" i="7"/>
  <c r="F13" i="7" s="1"/>
  <c r="B13" i="7"/>
  <c r="E19" i="7"/>
  <c r="F19" i="7" s="1"/>
  <c r="B19" i="7"/>
  <c r="E20" i="7"/>
  <c r="F20" i="7" s="1"/>
  <c r="B20" i="7"/>
  <c r="E14" i="7"/>
  <c r="F14" i="7" s="1"/>
  <c r="B14" i="7"/>
  <c r="E15" i="7"/>
  <c r="F15" i="7" s="1"/>
  <c r="B15" i="7"/>
  <c r="E18" i="7"/>
  <c r="F18" i="7" s="1"/>
  <c r="B18" i="7"/>
  <c r="E12" i="7"/>
  <c r="F12" i="7" s="1"/>
  <c r="B12" i="7"/>
  <c r="E11" i="7"/>
  <c r="B11" i="7"/>
  <c r="F52" i="7" l="1"/>
  <c r="F11" i="7"/>
</calcChain>
</file>

<file path=xl/sharedStrings.xml><?xml version="1.0" encoding="utf-8"?>
<sst xmlns="http://schemas.openxmlformats.org/spreadsheetml/2006/main" count="305" uniqueCount="79">
  <si>
    <t>Завтрак</t>
  </si>
  <si>
    <t>Сухофрукты</t>
  </si>
  <si>
    <t>Овсянка</t>
  </si>
  <si>
    <t>Сушеные ягоды</t>
  </si>
  <si>
    <t>Сахарный песок</t>
  </si>
  <si>
    <t>Финкриспы</t>
  </si>
  <si>
    <t>гр</t>
  </si>
  <si>
    <t>шт</t>
  </si>
  <si>
    <t>Сыр плавленый</t>
  </si>
  <si>
    <t>Сахар рафинад</t>
  </si>
  <si>
    <t>Обед</t>
  </si>
  <si>
    <t>Паштет</t>
  </si>
  <si>
    <t>Пшенка</t>
  </si>
  <si>
    <t>Кукурузная каша</t>
  </si>
  <si>
    <t>Суп русский продукт
Куриная лапша</t>
  </si>
  <si>
    <t>Вермишель</t>
  </si>
  <si>
    <t>Сырокопченая колбаса</t>
  </si>
  <si>
    <t>Сникерс</t>
  </si>
  <si>
    <t>Суп русский продукт
Борщ</t>
  </si>
  <si>
    <t>Чеснок</t>
  </si>
  <si>
    <t>Тушенка</t>
  </si>
  <si>
    <t>Суп русский продукт
Харчо</t>
  </si>
  <si>
    <t>Суп русский продукт
Мясной</t>
  </si>
  <si>
    <t>Суп русский продукт
Куриный</t>
  </si>
  <si>
    <t>Марс</t>
  </si>
  <si>
    <t>Натс</t>
  </si>
  <si>
    <t>Пик-Ник</t>
  </si>
  <si>
    <t>Кит-Кат</t>
  </si>
  <si>
    <t>Ужин</t>
  </si>
  <si>
    <t>Макароны</t>
  </si>
  <si>
    <t>Лук</t>
  </si>
  <si>
    <t>Печенье пачка</t>
  </si>
  <si>
    <t>Крекеры</t>
  </si>
  <si>
    <t>Кар.пюр.</t>
  </si>
  <si>
    <t>Рис</t>
  </si>
  <si>
    <t>Рыбные консервы</t>
  </si>
  <si>
    <t>Пряники</t>
  </si>
  <si>
    <t>Смесь Cykoria овощная сухая</t>
  </si>
  <si>
    <t>Перловка</t>
  </si>
  <si>
    <t>Вафельный торт</t>
  </si>
  <si>
    <t>Овсяное печенье</t>
  </si>
  <si>
    <t>ДЕНЬ 1</t>
  </si>
  <si>
    <t>ДЕНЬ 2</t>
  </si>
  <si>
    <t>ДЕНЬ 3</t>
  </si>
  <si>
    <t>ДЕНЬ 4</t>
  </si>
  <si>
    <t>ДЕНЬ 5</t>
  </si>
  <si>
    <t>Количество людей</t>
  </si>
  <si>
    <t>Количество дней</t>
  </si>
  <si>
    <t>Расходники:</t>
  </si>
  <si>
    <t>Чай</t>
  </si>
  <si>
    <t>Кофе</t>
  </si>
  <si>
    <t>Какао</t>
  </si>
  <si>
    <t>Специи</t>
  </si>
  <si>
    <t>Соусы</t>
  </si>
  <si>
    <t>Соль</t>
  </si>
  <si>
    <t>Повторов</t>
  </si>
  <si>
    <t>Всего</t>
  </si>
  <si>
    <t>Гречка завтрак</t>
  </si>
  <si>
    <t>Гречка ужин</t>
  </si>
  <si>
    <t>Сухое молоко(сливки)</t>
  </si>
  <si>
    <t>4 Злака</t>
  </si>
  <si>
    <t>Пастила</t>
  </si>
  <si>
    <t>Продукт</t>
  </si>
  <si>
    <t>Ед.изм.</t>
  </si>
  <si>
    <t>Чел/раз</t>
  </si>
  <si>
    <t>Группа/раз</t>
  </si>
  <si>
    <t>КУПИТЬ</t>
  </si>
  <si>
    <t>День1</t>
  </si>
  <si>
    <t>День2</t>
  </si>
  <si>
    <t>День3</t>
  </si>
  <si>
    <t>День5</t>
  </si>
  <si>
    <t>День4</t>
  </si>
  <si>
    <t>День 1</t>
  </si>
  <si>
    <t>Хлеб куски</t>
  </si>
  <si>
    <t>Сгущенка</t>
  </si>
  <si>
    <t>Список продуктов</t>
  </si>
  <si>
    <r>
      <t>1. Для составления раскладки необходимо</t>
    </r>
    <r>
      <rPr>
        <b/>
        <sz val="11"/>
        <color theme="1"/>
        <rFont val="Calibri"/>
        <family val="2"/>
        <charset val="204"/>
        <scheme val="minor"/>
      </rPr>
      <t xml:space="preserve"> указать кол-во людей и кол-во дней, а также дату первого дня</t>
    </r>
    <r>
      <rPr>
        <sz val="11"/>
        <color theme="1"/>
        <rFont val="Calibri"/>
        <family val="2"/>
        <charset val="204"/>
        <scheme val="minor"/>
      </rPr>
      <t xml:space="preserve">. 
2. Если в каком-то из дней нет завтрака, обеда или ужина, необходимо просто удалить название приема пищи. 
3. Список продуктов для закупки можно найти на листе </t>
    </r>
    <r>
      <rPr>
        <sz val="11"/>
        <color rgb="FF00B050"/>
        <rFont val="Calibri"/>
        <family val="2"/>
        <charset val="204"/>
        <scheme val="minor"/>
      </rPr>
      <t>"Закупка"</t>
    </r>
    <r>
      <rPr>
        <sz val="11"/>
        <color theme="1"/>
        <rFont val="Calibri"/>
        <family val="2"/>
        <charset val="204"/>
        <scheme val="minor"/>
      </rPr>
      <t xml:space="preserve">. Там же можно звездочкой пометить продукты, закупаемые заранее или на месте. 
4. Чтобы изменить кол-во продукта на человека/раз, достаточно просто изменить это значение на листе </t>
    </r>
    <r>
      <rPr>
        <sz val="11"/>
        <color theme="9" tint="-0.249977111117893"/>
        <rFont val="Calibri"/>
        <family val="2"/>
        <charset val="204"/>
        <scheme val="minor"/>
      </rPr>
      <t>"Список продуктов"</t>
    </r>
    <r>
      <rPr>
        <sz val="11"/>
        <color theme="1"/>
        <rFont val="Calibri"/>
        <family val="2"/>
        <charset val="204"/>
        <scheme val="minor"/>
      </rPr>
      <t xml:space="preserve">. Во всей остальной раскладке значения изменятся автоматически.
5. В меню 5 уникальных дней, первичные данные находятся на листе </t>
    </r>
    <r>
      <rPr>
        <sz val="11"/>
        <color rgb="FF0070C0"/>
        <rFont val="Calibri"/>
        <family val="2"/>
        <charset val="204"/>
        <scheme val="minor"/>
      </rPr>
      <t>"Меню"</t>
    </r>
    <r>
      <rPr>
        <sz val="11"/>
        <color theme="1"/>
        <rFont val="Calibri"/>
        <family val="2"/>
        <charset val="204"/>
        <scheme val="minor"/>
      </rPr>
      <t xml:space="preserve">. Изменению подлежат только названия продуктов.
6. Варианты меню подставляются автоматически в зависимости от номера дня, если есть какие-то особые пожелания на определенный день, то в ячейке с названием меню можно написать желаемое значение.
7. В листе </t>
    </r>
    <r>
      <rPr>
        <sz val="11"/>
        <color rgb="FF0070C0"/>
        <rFont val="Calibri"/>
        <family val="2"/>
        <charset val="204"/>
        <scheme val="minor"/>
      </rPr>
      <t>"Меню"</t>
    </r>
    <r>
      <rPr>
        <sz val="11"/>
        <color theme="1"/>
        <rFont val="Calibri"/>
        <family val="2"/>
        <charset val="204"/>
        <scheme val="minor"/>
      </rPr>
      <t xml:space="preserve"> можно заменить: финкриспы и крекеры на хлеб.
                                                                             сухое молоко и сахарный песок на сгущенку
8. Продукты выделенные желтым на листе </t>
    </r>
    <r>
      <rPr>
        <sz val="11"/>
        <color theme="9" tint="-0.249977111117893"/>
        <rFont val="Calibri"/>
        <family val="2"/>
        <charset val="204"/>
        <scheme val="minor"/>
      </rPr>
      <t>"Список продуктов"</t>
    </r>
    <r>
      <rPr>
        <sz val="11"/>
        <color theme="1"/>
        <rFont val="Calibri"/>
        <family val="2"/>
        <charset val="204"/>
        <scheme val="minor"/>
      </rPr>
      <t xml:space="preserve"> - подогнаны под кол-во участников, можно изменять.</t>
    </r>
  </si>
  <si>
    <t>Куплено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</si>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</sst>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0" xfId="0" applyBorder="1"/>
    <xf numFmtId="1" fontId="0" fillId="0" borderId="0" xfId="0" applyNumberFormat="1" applyBorder="1"/>
    <xf numFmtId="164" fontId="0" fillId="0" borderId="0" xfId="0" applyNumberFormat="1" applyBorder="1"/>
    <xf numFmtId="0" fontId="0" fillId="0" borderId="29" xfId="0" applyBorder="1"/>
    <xf numFmtId="0" fontId="0" fillId="0" borderId="30" xfId="0" applyBorder="1"/>
    <xf numFmtId="0" fontId="0" fillId="2" borderId="26" xfId="0" applyFill="1" applyBorder="1"/>
    <xf numFmtId="0" fontId="0" fillId="2" borderId="27" xfId="0" applyFill="1" applyBorder="1"/>
    <xf numFmtId="164" fontId="0" fillId="2" borderId="27" xfId="0" applyNumberFormat="1" applyFill="1" applyBorder="1"/>
    <xf numFmtId="1" fontId="0" fillId="2" borderId="28" xfId="0" applyNumberFormat="1" applyFill="1" applyBorder="1"/>
    <xf numFmtId="0" fontId="0" fillId="2" borderId="3" xfId="0" applyFill="1" applyBorder="1"/>
    <xf numFmtId="0" fontId="0" fillId="2" borderId="4" xfId="0" applyFill="1" applyBorder="1"/>
    <xf numFmtId="164" fontId="0" fillId="2" borderId="4" xfId="0" applyNumberFormat="1" applyFill="1" applyBorder="1"/>
    <xf numFmtId="1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164" fontId="0" fillId="2" borderId="1" xfId="0" applyNumberFormat="1" applyFill="1" applyBorder="1"/>
    <xf numFmtId="1" fontId="0" fillId="2" borderId="7" xfId="0" applyNumberFormat="1" applyFill="1" applyBorder="1"/>
    <xf numFmtId="0" fontId="0" fillId="2" borderId="8" xfId="0" applyFill="1" applyBorder="1"/>
    <xf numFmtId="0" fontId="0" fillId="2" borderId="9" xfId="0" applyFill="1" applyBorder="1"/>
    <xf numFmtId="164" fontId="0" fillId="2" borderId="9" xfId="0" applyNumberFormat="1" applyFill="1" applyBorder="1"/>
    <xf numFmtId="1" fontId="0" fillId="2" borderId="10" xfId="0" applyNumberFormat="1" applyFill="1" applyBorder="1"/>
    <xf numFmtId="0" fontId="0" fillId="3" borderId="26" xfId="0" applyFill="1" applyBorder="1"/>
    <xf numFmtId="0" fontId="0" fillId="3" borderId="27" xfId="0" applyFill="1" applyBorder="1"/>
    <xf numFmtId="164" fontId="0" fillId="3" borderId="27" xfId="0" applyNumberFormat="1" applyFill="1" applyBorder="1"/>
    <xf numFmtId="1" fontId="0" fillId="3" borderId="28" xfId="0" applyNumberFormat="1" applyFill="1" applyBorder="1"/>
    <xf numFmtId="0" fontId="0" fillId="3" borderId="3" xfId="0" applyFill="1" applyBorder="1"/>
    <xf numFmtId="0" fontId="0" fillId="3" borderId="4" xfId="0" applyFill="1" applyBorder="1"/>
    <xf numFmtId="164" fontId="0" fillId="3" borderId="4" xfId="0" applyNumberFormat="1" applyFill="1" applyBorder="1"/>
    <xf numFmtId="1" fontId="0" fillId="3" borderId="5" xfId="0" applyNumberFormat="1" applyFill="1" applyBorder="1"/>
    <xf numFmtId="0" fontId="0" fillId="3" borderId="6" xfId="0" applyFill="1" applyBorder="1"/>
    <xf numFmtId="0" fontId="0" fillId="3" borderId="1" xfId="0" applyFill="1" applyBorder="1"/>
    <xf numFmtId="164" fontId="0" fillId="3" borderId="1" xfId="0" applyNumberFormat="1" applyFill="1" applyBorder="1"/>
    <xf numFmtId="1" fontId="0" fillId="3" borderId="7" xfId="0" applyNumberFormat="1" applyFill="1" applyBorder="1"/>
    <xf numFmtId="0" fontId="0" fillId="3" borderId="8" xfId="0" applyFill="1" applyBorder="1"/>
    <xf numFmtId="0" fontId="0" fillId="3" borderId="9" xfId="0" applyFill="1" applyBorder="1"/>
    <xf numFmtId="164" fontId="0" fillId="3" borderId="9" xfId="0" applyNumberFormat="1" applyFill="1" applyBorder="1"/>
    <xf numFmtId="1" fontId="0" fillId="3" borderId="10" xfId="0" applyNumberFormat="1" applyFill="1" applyBorder="1"/>
    <xf numFmtId="0" fontId="0" fillId="4" borderId="26" xfId="0" applyFill="1" applyBorder="1"/>
    <xf numFmtId="0" fontId="0" fillId="4" borderId="27" xfId="0" applyFill="1" applyBorder="1"/>
    <xf numFmtId="164" fontId="0" fillId="4" borderId="27" xfId="0" applyNumberFormat="1" applyFill="1" applyBorder="1"/>
    <xf numFmtId="1" fontId="0" fillId="4" borderId="28" xfId="0" applyNumberFormat="1" applyFill="1" applyBorder="1"/>
    <xf numFmtId="0" fontId="0" fillId="4" borderId="3" xfId="0" applyFill="1" applyBorder="1"/>
    <xf numFmtId="0" fontId="0" fillId="4" borderId="4" xfId="0" applyFill="1" applyBorder="1"/>
    <xf numFmtId="164" fontId="0" fillId="4" borderId="4" xfId="0" applyNumberFormat="1" applyFill="1" applyBorder="1"/>
    <xf numFmtId="1" fontId="0" fillId="4" borderId="5" xfId="0" applyNumberFormat="1" applyFill="1" applyBorder="1"/>
    <xf numFmtId="0" fontId="0" fillId="4" borderId="6" xfId="0" applyFill="1" applyBorder="1"/>
    <xf numFmtId="0" fontId="0" fillId="4" borderId="1" xfId="0" applyFill="1" applyBorder="1"/>
    <xf numFmtId="164" fontId="0" fillId="4" borderId="1" xfId="0" applyNumberFormat="1" applyFill="1" applyBorder="1"/>
    <xf numFmtId="1" fontId="0" fillId="4" borderId="7" xfId="0" applyNumberFormat="1" applyFill="1" applyBorder="1"/>
    <xf numFmtId="0" fontId="0" fillId="4" borderId="8" xfId="0" applyFill="1" applyBorder="1"/>
    <xf numFmtId="0" fontId="0" fillId="4" borderId="9" xfId="0" applyFill="1" applyBorder="1"/>
    <xf numFmtId="164" fontId="0" fillId="4" borderId="9" xfId="0" applyNumberFormat="1" applyFill="1" applyBorder="1"/>
    <xf numFmtId="1" fontId="0" fillId="4" borderId="10" xfId="0" applyNumberFormat="1" applyFill="1" applyBorder="1"/>
    <xf numFmtId="0" fontId="0" fillId="5" borderId="26" xfId="0" applyFill="1" applyBorder="1"/>
    <xf numFmtId="0" fontId="0" fillId="5" borderId="27" xfId="0" applyFill="1" applyBorder="1"/>
    <xf numFmtId="164" fontId="0" fillId="5" borderId="27" xfId="0" applyNumberFormat="1" applyFill="1" applyBorder="1"/>
    <xf numFmtId="1" fontId="0" fillId="5" borderId="28" xfId="0" applyNumberFormat="1" applyFill="1" applyBorder="1"/>
    <xf numFmtId="0" fontId="0" fillId="5" borderId="3" xfId="0" applyFill="1" applyBorder="1"/>
    <xf numFmtId="0" fontId="0" fillId="5" borderId="4" xfId="0" applyFill="1" applyBorder="1"/>
    <xf numFmtId="164" fontId="0" fillId="5" borderId="4" xfId="0" applyNumberFormat="1" applyFill="1" applyBorder="1"/>
    <xf numFmtId="1" fontId="0" fillId="5" borderId="5" xfId="0" applyNumberFormat="1" applyFill="1" applyBorder="1"/>
    <xf numFmtId="0" fontId="0" fillId="5" borderId="6" xfId="0" applyFill="1" applyBorder="1"/>
    <xf numFmtId="0" fontId="0" fillId="5" borderId="1" xfId="0" applyFill="1" applyBorder="1"/>
    <xf numFmtId="164" fontId="0" fillId="5" borderId="1" xfId="0" applyNumberFormat="1" applyFill="1" applyBorder="1"/>
    <xf numFmtId="1" fontId="0" fillId="5" borderId="7" xfId="0" applyNumberFormat="1" applyFill="1" applyBorder="1"/>
    <xf numFmtId="0" fontId="0" fillId="5" borderId="8" xfId="0" applyFill="1" applyBorder="1"/>
    <xf numFmtId="0" fontId="0" fillId="5" borderId="9" xfId="0" applyFill="1" applyBorder="1"/>
    <xf numFmtId="164" fontId="0" fillId="5" borderId="9" xfId="0" applyNumberFormat="1" applyFill="1" applyBorder="1"/>
    <xf numFmtId="1" fontId="0" fillId="5" borderId="10" xfId="0" applyNumberFormat="1" applyFill="1" applyBorder="1"/>
    <xf numFmtId="0" fontId="0" fillId="4" borderId="18" xfId="0" applyFill="1" applyBorder="1"/>
    <xf numFmtId="0" fontId="0" fillId="4" borderId="28" xfId="0" applyFill="1" applyBorder="1"/>
    <xf numFmtId="0" fontId="0" fillId="4" borderId="24" xfId="0" applyFill="1" applyBorder="1"/>
    <xf numFmtId="0" fontId="0" fillId="4" borderId="19" xfId="0" applyFill="1" applyBorder="1" applyAlignment="1">
      <alignment wrapText="1"/>
    </xf>
    <xf numFmtId="1" fontId="0" fillId="4" borderId="17" xfId="0" applyNumberFormat="1" applyFill="1" applyBorder="1"/>
    <xf numFmtId="0" fontId="0" fillId="4" borderId="12" xfId="0" applyFill="1" applyBorder="1"/>
    <xf numFmtId="1" fontId="0" fillId="4" borderId="11" xfId="0" applyNumberFormat="1" applyFill="1" applyBorder="1"/>
    <xf numFmtId="0" fontId="0" fillId="4" borderId="25" xfId="0" applyFill="1" applyBorder="1"/>
    <xf numFmtId="0" fontId="0" fillId="4" borderId="23" xfId="0" applyFill="1" applyBorder="1"/>
    <xf numFmtId="1" fontId="0" fillId="4" borderId="22" xfId="0" applyNumberFormat="1" applyFill="1" applyBorder="1"/>
    <xf numFmtId="0" fontId="0" fillId="5" borderId="18" xfId="0" applyFill="1" applyBorder="1"/>
    <xf numFmtId="0" fontId="0" fillId="5" borderId="28" xfId="0" applyFill="1" applyBorder="1"/>
    <xf numFmtId="1" fontId="0" fillId="5" borderId="17" xfId="0" applyNumberFormat="1" applyFill="1" applyBorder="1"/>
    <xf numFmtId="0" fontId="0" fillId="5" borderId="24" xfId="0" applyFill="1" applyBorder="1"/>
    <xf numFmtId="0" fontId="0" fillId="5" borderId="19" xfId="0" applyFill="1" applyBorder="1" applyAlignment="1">
      <alignment wrapText="1"/>
    </xf>
    <xf numFmtId="0" fontId="0" fillId="5" borderId="19" xfId="0" applyFill="1" applyBorder="1"/>
    <xf numFmtId="1" fontId="0" fillId="5" borderId="11" xfId="0" applyNumberFormat="1" applyFill="1" applyBorder="1"/>
    <xf numFmtId="0" fontId="0" fillId="5" borderId="12" xfId="0" applyFill="1" applyBorder="1"/>
    <xf numFmtId="2" fontId="0" fillId="5" borderId="1" xfId="0" applyNumberFormat="1" applyFill="1" applyBorder="1"/>
    <xf numFmtId="1" fontId="0" fillId="5" borderId="22" xfId="0" applyNumberFormat="1" applyFill="1" applyBorder="1"/>
    <xf numFmtId="0" fontId="0" fillId="5" borderId="25" xfId="0" applyFill="1" applyBorder="1"/>
    <xf numFmtId="0" fontId="0" fillId="5" borderId="23" xfId="0" applyFill="1" applyBorder="1"/>
    <xf numFmtId="0" fontId="0" fillId="2" borderId="18" xfId="0" applyFill="1" applyBorder="1"/>
    <xf numFmtId="0" fontId="0" fillId="2" borderId="28" xfId="0" applyFill="1" applyBorder="1"/>
    <xf numFmtId="1" fontId="0" fillId="2" borderId="17" xfId="0" applyNumberFormat="1" applyFill="1" applyBorder="1"/>
    <xf numFmtId="0" fontId="0" fillId="2" borderId="24" xfId="0" applyFill="1" applyBorder="1"/>
    <xf numFmtId="0" fontId="0" fillId="2" borderId="19" xfId="0" applyFill="1" applyBorder="1" applyAlignment="1">
      <alignment wrapText="1"/>
    </xf>
    <xf numFmtId="0" fontId="0" fillId="2" borderId="19" xfId="0" applyFill="1" applyBorder="1"/>
    <xf numFmtId="1" fontId="0" fillId="2" borderId="11" xfId="0" applyNumberFormat="1" applyFill="1" applyBorder="1"/>
    <xf numFmtId="0" fontId="0" fillId="2" borderId="12" xfId="0" applyFill="1" applyBorder="1"/>
    <xf numFmtId="2" fontId="0" fillId="2" borderId="1" xfId="0" applyNumberFormat="1" applyFill="1" applyBorder="1"/>
    <xf numFmtId="1" fontId="0" fillId="2" borderId="22" xfId="0" applyNumberFormat="1" applyFill="1" applyBorder="1"/>
    <xf numFmtId="0" fontId="0" fillId="2" borderId="25" xfId="0" applyFill="1" applyBorder="1"/>
    <xf numFmtId="0" fontId="0" fillId="2" borderId="23" xfId="0" applyFill="1" applyBorder="1"/>
    <xf numFmtId="0" fontId="0" fillId="3" borderId="18" xfId="0" applyFill="1" applyBorder="1"/>
    <xf numFmtId="0" fontId="0" fillId="3" borderId="28" xfId="0" applyFill="1" applyBorder="1"/>
    <xf numFmtId="1" fontId="0" fillId="3" borderId="17" xfId="0" applyNumberFormat="1" applyFill="1" applyBorder="1"/>
    <xf numFmtId="0" fontId="0" fillId="3" borderId="24" xfId="0" applyFill="1" applyBorder="1"/>
    <xf numFmtId="0" fontId="0" fillId="3" borderId="19" xfId="0" applyFill="1" applyBorder="1" applyAlignment="1">
      <alignment wrapText="1"/>
    </xf>
    <xf numFmtId="0" fontId="0" fillId="3" borderId="19" xfId="0" applyFill="1" applyBorder="1"/>
    <xf numFmtId="1" fontId="0" fillId="3" borderId="11" xfId="0" applyNumberFormat="1" applyFill="1" applyBorder="1"/>
    <xf numFmtId="0" fontId="0" fillId="3" borderId="12" xfId="0" applyFill="1" applyBorder="1"/>
    <xf numFmtId="1" fontId="0" fillId="3" borderId="22" xfId="0" applyNumberFormat="1" applyFill="1" applyBorder="1"/>
    <xf numFmtId="0" fontId="0" fillId="3" borderId="25" xfId="0" applyFill="1" applyBorder="1"/>
    <xf numFmtId="0" fontId="0" fillId="3" borderId="23" xfId="0" applyFill="1" applyBorder="1"/>
    <xf numFmtId="0" fontId="0" fillId="6" borderId="26" xfId="0" applyFill="1" applyBorder="1"/>
    <xf numFmtId="0" fontId="0" fillId="6" borderId="27" xfId="0" applyFill="1" applyBorder="1"/>
    <xf numFmtId="1" fontId="0" fillId="6" borderId="28" xfId="0" applyNumberFormat="1" applyFill="1" applyBorder="1"/>
    <xf numFmtId="0" fontId="0" fillId="6" borderId="18" xfId="0" applyFill="1" applyBorder="1"/>
    <xf numFmtId="0" fontId="0" fillId="6" borderId="28" xfId="0" applyFill="1" applyBorder="1"/>
    <xf numFmtId="164" fontId="0" fillId="6" borderId="27" xfId="0" applyNumberFormat="1" applyFill="1" applyBorder="1"/>
    <xf numFmtId="0" fontId="0" fillId="6" borderId="3" xfId="0" applyFill="1" applyBorder="1"/>
    <xf numFmtId="0" fontId="0" fillId="6" borderId="4" xfId="0" applyFill="1" applyBorder="1"/>
    <xf numFmtId="1" fontId="0" fillId="6" borderId="17" xfId="0" applyNumberFormat="1" applyFill="1" applyBorder="1"/>
    <xf numFmtId="0" fontId="0" fillId="6" borderId="24" xfId="0" applyFill="1" applyBorder="1"/>
    <xf numFmtId="0" fontId="0" fillId="6" borderId="19" xfId="0" applyFill="1" applyBorder="1" applyAlignment="1">
      <alignment wrapText="1"/>
    </xf>
    <xf numFmtId="0" fontId="0" fillId="6" borderId="19" xfId="0" applyFill="1" applyBorder="1"/>
    <xf numFmtId="164" fontId="0" fillId="6" borderId="4" xfId="0" applyNumberFormat="1" applyFill="1" applyBorder="1"/>
    <xf numFmtId="1" fontId="0" fillId="6" borderId="5" xfId="0" applyNumberFormat="1" applyFill="1" applyBorder="1"/>
    <xf numFmtId="0" fontId="0" fillId="6" borderId="6" xfId="0" applyFill="1" applyBorder="1"/>
    <xf numFmtId="0" fontId="0" fillId="6" borderId="1" xfId="0" applyFill="1" applyBorder="1"/>
    <xf numFmtId="1" fontId="0" fillId="6" borderId="11" xfId="0" applyNumberFormat="1" applyFill="1" applyBorder="1"/>
    <xf numFmtId="0" fontId="0" fillId="6" borderId="12" xfId="0" applyFill="1" applyBorder="1"/>
    <xf numFmtId="2" fontId="0" fillId="6" borderId="1" xfId="0" applyNumberFormat="1" applyFill="1" applyBorder="1"/>
    <xf numFmtId="164" fontId="0" fillId="6" borderId="1" xfId="0" applyNumberFormat="1" applyFill="1" applyBorder="1"/>
    <xf numFmtId="1" fontId="0" fillId="6" borderId="7" xfId="0" applyNumberFormat="1" applyFill="1" applyBorder="1"/>
    <xf numFmtId="0" fontId="0" fillId="6" borderId="20" xfId="0" applyFill="1" applyBorder="1"/>
    <xf numFmtId="0" fontId="0" fillId="6" borderId="13" xfId="0" applyFill="1" applyBorder="1"/>
    <xf numFmtId="1" fontId="0" fillId="6" borderId="14" xfId="0" applyNumberFormat="1" applyFill="1" applyBorder="1"/>
    <xf numFmtId="0" fontId="0" fillId="6" borderId="15" xfId="0" applyFill="1" applyBorder="1"/>
    <xf numFmtId="1" fontId="0" fillId="6" borderId="21" xfId="0" applyNumberFormat="1" applyFill="1" applyBorder="1"/>
    <xf numFmtId="0" fontId="0" fillId="6" borderId="8" xfId="0" applyFill="1" applyBorder="1"/>
    <xf numFmtId="0" fontId="0" fillId="6" borderId="9" xfId="0" applyFill="1" applyBorder="1"/>
    <xf numFmtId="1" fontId="0" fillId="6" borderId="22" xfId="0" applyNumberFormat="1" applyFill="1" applyBorder="1"/>
    <xf numFmtId="0" fontId="0" fillId="6" borderId="25" xfId="0" applyFill="1" applyBorder="1"/>
    <xf numFmtId="0" fontId="0" fillId="6" borderId="23" xfId="0" applyFill="1" applyBorder="1"/>
    <xf numFmtId="164" fontId="0" fillId="6" borderId="9" xfId="0" applyNumberFormat="1" applyFill="1" applyBorder="1"/>
    <xf numFmtId="1" fontId="0" fillId="6" borderId="10" xfId="0" applyNumberFormat="1" applyFill="1" applyBorder="1"/>
    <xf numFmtId="0" fontId="0" fillId="7" borderId="1" xfId="0" applyFill="1" applyBorder="1"/>
    <xf numFmtId="0" fontId="0" fillId="7" borderId="32" xfId="0" applyFill="1" applyBorder="1"/>
    <xf numFmtId="0" fontId="0" fillId="7" borderId="33" xfId="0" applyFill="1" applyBorder="1"/>
    <xf numFmtId="0" fontId="0" fillId="7" borderId="34" xfId="0" applyFill="1" applyBorder="1"/>
    <xf numFmtId="1" fontId="0" fillId="7" borderId="35" xfId="0" applyNumberFormat="1" applyFill="1" applyBorder="1"/>
    <xf numFmtId="0" fontId="0" fillId="7" borderId="36" xfId="0" applyFill="1" applyBorder="1"/>
    <xf numFmtId="1" fontId="0" fillId="7" borderId="37" xfId="0" applyNumberFormat="1" applyFill="1" applyBorder="1"/>
    <xf numFmtId="0" fontId="0" fillId="7" borderId="38" xfId="0" applyFill="1" applyBorder="1"/>
    <xf numFmtId="0" fontId="0" fillId="7" borderId="39" xfId="0" applyFill="1" applyBorder="1"/>
    <xf numFmtId="1" fontId="0" fillId="7" borderId="40" xfId="0" applyNumberFormat="1" applyFill="1" applyBorder="1"/>
    <xf numFmtId="0" fontId="0" fillId="0" borderId="6" xfId="0" applyFill="1" applyBorder="1"/>
    <xf numFmtId="0" fontId="0" fillId="0" borderId="1" xfId="0" applyFill="1" applyBorder="1"/>
    <xf numFmtId="1" fontId="0" fillId="0" borderId="7" xfId="0" applyNumberFormat="1" applyFill="1" applyBorder="1"/>
    <xf numFmtId="0" fontId="0" fillId="0" borderId="20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Fill="1" applyBorder="1"/>
    <xf numFmtId="1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/>
    <xf numFmtId="0" fontId="0" fillId="3" borderId="12" xfId="0" applyFill="1" applyBorder="1" applyAlignment="1">
      <alignment wrapText="1"/>
    </xf>
    <xf numFmtId="1" fontId="0" fillId="4" borderId="1" xfId="0" applyNumberFormat="1" applyFill="1" applyBorder="1"/>
    <xf numFmtId="1" fontId="0" fillId="2" borderId="1" xfId="0" applyNumberFormat="1" applyFill="1" applyBorder="1"/>
    <xf numFmtId="1" fontId="0" fillId="3" borderId="1" xfId="0" applyNumberFormat="1" applyFill="1" applyBorder="1"/>
    <xf numFmtId="1" fontId="0" fillId="5" borderId="1" xfId="0" applyNumberFormat="1" applyFill="1" applyBorder="1"/>
    <xf numFmtId="1" fontId="0" fillId="6" borderId="1" xfId="0" applyNumberFormat="1" applyFill="1" applyBorder="1"/>
    <xf numFmtId="2" fontId="0" fillId="3" borderId="1" xfId="0" applyNumberFormat="1" applyFill="1" applyBorder="1"/>
    <xf numFmtId="1" fontId="0" fillId="4" borderId="1" xfId="0" applyNumberFormat="1" applyFill="1" applyBorder="1" applyAlignment="1"/>
    <xf numFmtId="1" fontId="0" fillId="6" borderId="13" xfId="0" applyNumberFormat="1" applyFill="1" applyBorder="1"/>
    <xf numFmtId="0" fontId="0" fillId="2" borderId="0" xfId="0" applyFill="1"/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0" borderId="7" xfId="0" applyFill="1" applyBorder="1"/>
    <xf numFmtId="164" fontId="0" fillId="0" borderId="7" xfId="0" applyNumberFormat="1" applyFill="1" applyBorder="1"/>
    <xf numFmtId="0" fontId="0" fillId="0" borderId="6" xfId="0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2" xfId="0" applyFill="1" applyBorder="1"/>
    <xf numFmtId="0" fontId="0" fillId="0" borderId="43" xfId="0" applyFill="1" applyBorder="1"/>
    <xf numFmtId="0" fontId="2" fillId="0" borderId="29" xfId="0" applyFont="1" applyFill="1" applyBorder="1"/>
    <xf numFmtId="0" fontId="2" fillId="0" borderId="31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1" fontId="0" fillId="2" borderId="1" xfId="0" applyNumberFormat="1" applyFill="1" applyBorder="1" applyAlignment="1"/>
    <xf numFmtId="1" fontId="0" fillId="3" borderId="1" xfId="0" applyNumberFormat="1" applyFill="1" applyBorder="1" applyAlignment="1"/>
    <xf numFmtId="1" fontId="0" fillId="5" borderId="1" xfId="0" applyNumberFormat="1" applyFill="1" applyBorder="1" applyAlignment="1"/>
    <xf numFmtId="1" fontId="0" fillId="6" borderId="1" xfId="0" applyNumberFormat="1" applyFill="1" applyBorder="1" applyAlignment="1"/>
    <xf numFmtId="0" fontId="1" fillId="8" borderId="2" xfId="0" applyFont="1" applyFill="1" applyBorder="1"/>
    <xf numFmtId="0" fontId="0" fillId="4" borderId="3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7" borderId="2" xfId="0" applyFont="1" applyFill="1" applyBorder="1" applyAlignment="1">
      <alignment horizontal="center" wrapText="1"/>
    </xf>
    <xf numFmtId="0" fontId="0" fillId="2" borderId="26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4" borderId="26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0" fillId="3" borderId="26" xfId="0" applyFill="1" applyBorder="1" applyAlignment="1">
      <alignment wrapText="1"/>
    </xf>
    <xf numFmtId="0" fontId="0" fillId="3" borderId="23" xfId="0" applyFill="1" applyBorder="1" applyAlignment="1">
      <alignment wrapText="1"/>
    </xf>
    <xf numFmtId="0" fontId="0" fillId="5" borderId="26" xfId="0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6" borderId="26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9" borderId="30" xfId="0" applyFill="1" applyBorder="1"/>
    <xf numFmtId="0" fontId="0" fillId="10" borderId="29" xfId="0" applyFill="1" applyBorder="1"/>
    <xf numFmtId="0" fontId="0" fillId="10" borderId="29" xfId="0" applyFill="1" applyBorder="1" applyAlignment="1">
      <alignment wrapText="1"/>
    </xf>
    <xf numFmtId="0" fontId="0" fillId="0" borderId="20" xfId="0" applyBorder="1"/>
    <xf numFmtId="0" fontId="0" fillId="0" borderId="13" xfId="0" applyBorder="1"/>
    <xf numFmtId="0" fontId="0" fillId="0" borderId="21" xfId="0" applyBorder="1"/>
    <xf numFmtId="2" fontId="0" fillId="8" borderId="7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8" borderId="20" xfId="0" applyFill="1" applyBorder="1"/>
    <xf numFmtId="0" fontId="0" fillId="8" borderId="13" xfId="0" applyFill="1" applyBorder="1"/>
    <xf numFmtId="0" fontId="0" fillId="8" borderId="6" xfId="0" applyFill="1" applyBorder="1"/>
    <xf numFmtId="0" fontId="0" fillId="8" borderId="1" xfId="0" applyFill="1" applyBorder="1"/>
    <xf numFmtId="2" fontId="0" fillId="8" borderId="21" xfId="0" applyNumberFormat="1" applyFill="1" applyBorder="1"/>
    <xf numFmtId="0" fontId="0" fillId="7" borderId="3" xfId="0" applyFill="1" applyBorder="1"/>
    <xf numFmtId="0" fontId="0" fillId="7" borderId="4" xfId="0" applyFill="1" applyBorder="1"/>
    <xf numFmtId="1" fontId="0" fillId="7" borderId="5" xfId="0" applyNumberFormat="1" applyFill="1" applyBorder="1"/>
    <xf numFmtId="0" fontId="0" fillId="7" borderId="6" xfId="0" applyFill="1" applyBorder="1"/>
    <xf numFmtId="1" fontId="0" fillId="7" borderId="7" xfId="0" applyNumberFormat="1" applyFill="1" applyBorder="1"/>
    <xf numFmtId="0" fontId="0" fillId="7" borderId="8" xfId="0" applyFill="1" applyBorder="1"/>
    <xf numFmtId="0" fontId="0" fillId="7" borderId="9" xfId="0" applyFill="1" applyBorder="1"/>
    <xf numFmtId="1" fontId="0" fillId="7" borderId="10" xfId="0" applyNumberFormat="1" applyFill="1" applyBorder="1"/>
    <xf numFmtId="0" fontId="0" fillId="0" borderId="49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29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8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1" fontId="0" fillId="0" borderId="2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2" xfId="0" applyFill="1" applyBorder="1" applyAlignment="1">
      <alignment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2" fontId="0" fillId="0" borderId="43" xfId="0" applyNumberFormat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4" fontId="0" fillId="0" borderId="21" xfId="0" applyNumberFormat="1" applyFill="1" applyBorder="1"/>
    <xf numFmtId="14" fontId="2" fillId="8" borderId="26" xfId="0" applyNumberFormat="1" applyFont="1" applyFill="1" applyBorder="1" applyAlignment="1">
      <alignment horizontal="center"/>
    </xf>
    <xf numFmtId="14" fontId="2" fillId="8" borderId="28" xfId="0" applyNumberFormat="1" applyFont="1" applyFill="1" applyBorder="1" applyAlignment="1">
      <alignment horizontal="center"/>
    </xf>
    <xf numFmtId="0" fontId="0" fillId="0" borderId="4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0" fillId="0" borderId="4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0" fillId="0" borderId="51" xfId="0" applyBorder="1" applyAlignment="1">
      <alignment horizontal="left" wrapText="1"/>
    </xf>
    <xf numFmtId="0" fontId="0" fillId="7" borderId="36" xfId="0" applyFill="1" applyBorder="1" applyAlignment="1">
      <alignment horizontal="left"/>
    </xf>
    <xf numFmtId="0" fontId="0" fillId="7" borderId="32" xfId="0" applyFill="1" applyBorder="1" applyAlignment="1">
      <alignment horizontal="left"/>
    </xf>
    <xf numFmtId="0" fontId="0" fillId="7" borderId="37" xfId="0" applyFill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10"/>
  <sheetViews>
    <sheetView tabSelected="1" view="pageBreakPreview" zoomScaleSheetLayoutView="100" workbookViewId="0">
      <selection activeCell="A87" sqref="A87"/>
    </sheetView>
  </sheetViews>
  <sheetFormatPr defaultRowHeight="15" x14ac:dyDescent="0.25"/>
  <cols>
    <col min="1" max="1" width="22" customWidth="1"/>
    <col min="2" max="2" width="5.42578125" customWidth="1"/>
    <col min="4" max="4" width="9.5703125" bestFit="1" customWidth="1"/>
    <col min="5" max="5" width="9.140625" style="5"/>
    <col min="6" max="6" width="35" style="208" customWidth="1"/>
    <col min="7" max="7" width="5.42578125" customWidth="1"/>
    <col min="10" max="10" width="9.140625" style="5"/>
    <col min="11" max="11" width="17.7109375" customWidth="1"/>
    <col min="12" max="12" width="5.42578125" customWidth="1"/>
    <col min="13" max="13" width="9.140625" style="1"/>
    <col min="14" max="14" width="9.140625" style="2"/>
    <col min="16" max="16" width="19.7109375" customWidth="1"/>
  </cols>
  <sheetData>
    <row r="1" spans="1:15" ht="15.75" thickBot="1" x14ac:dyDescent="0.3"/>
    <row r="2" spans="1:15" ht="15.75" thickBot="1" x14ac:dyDescent="0.3">
      <c r="A2" s="235" t="s">
        <v>46</v>
      </c>
      <c r="B2" s="234">
        <v>12</v>
      </c>
      <c r="D2" s="2"/>
      <c r="F2" s="236" t="s">
        <v>47</v>
      </c>
      <c r="G2" s="234">
        <v>9</v>
      </c>
    </row>
    <row r="3" spans="1:15" ht="15.75" thickBot="1" x14ac:dyDescent="0.3">
      <c r="A3" s="5"/>
      <c r="B3" s="5"/>
      <c r="D3" s="2"/>
      <c r="F3" s="209"/>
      <c r="G3" s="5"/>
    </row>
    <row r="4" spans="1:15" ht="22.5" customHeight="1" thickBot="1" x14ac:dyDescent="0.35">
      <c r="A4" s="309" t="s">
        <v>76</v>
      </c>
      <c r="B4" s="310"/>
      <c r="C4" s="310"/>
      <c r="D4" s="310"/>
      <c r="E4" s="310"/>
      <c r="F4" s="310"/>
      <c r="G4" s="310"/>
      <c r="H4" s="310"/>
      <c r="I4" s="311"/>
      <c r="K4" s="3" t="s">
        <v>48</v>
      </c>
      <c r="M4"/>
    </row>
    <row r="5" spans="1:15" ht="22.5" customHeight="1" x14ac:dyDescent="0.25">
      <c r="A5" s="312"/>
      <c r="B5" s="313"/>
      <c r="C5" s="313"/>
      <c r="D5" s="313"/>
      <c r="E5" s="313"/>
      <c r="F5" s="313"/>
      <c r="G5" s="313"/>
      <c r="H5" s="313"/>
      <c r="I5" s="314"/>
      <c r="K5" s="249" t="s">
        <v>49</v>
      </c>
      <c r="L5" s="250" t="s">
        <v>6</v>
      </c>
      <c r="M5" s="250">
        <v>9</v>
      </c>
      <c r="N5" s="251">
        <f>M5*$B$2*$G$2</f>
        <v>972</v>
      </c>
    </row>
    <row r="6" spans="1:15" ht="22.5" customHeight="1" x14ac:dyDescent="0.25">
      <c r="A6" s="312"/>
      <c r="B6" s="313"/>
      <c r="C6" s="313"/>
      <c r="D6" s="313"/>
      <c r="E6" s="313"/>
      <c r="F6" s="313"/>
      <c r="G6" s="313"/>
      <c r="H6" s="313"/>
      <c r="I6" s="314"/>
      <c r="K6" s="252" t="s">
        <v>50</v>
      </c>
      <c r="L6" s="152" t="s">
        <v>7</v>
      </c>
      <c r="M6" s="152"/>
      <c r="N6" s="253">
        <v>2</v>
      </c>
    </row>
    <row r="7" spans="1:15" ht="22.5" customHeight="1" x14ac:dyDescent="0.25">
      <c r="A7" s="312"/>
      <c r="B7" s="313"/>
      <c r="C7" s="313"/>
      <c r="D7" s="313"/>
      <c r="E7" s="313"/>
      <c r="F7" s="313"/>
      <c r="G7" s="313"/>
      <c r="H7" s="313"/>
      <c r="I7" s="314"/>
      <c r="K7" s="252" t="s">
        <v>51</v>
      </c>
      <c r="L7" s="152"/>
      <c r="M7" s="152"/>
      <c r="N7" s="253"/>
    </row>
    <row r="8" spans="1:15" ht="22.5" customHeight="1" x14ac:dyDescent="0.25">
      <c r="A8" s="312"/>
      <c r="B8" s="313"/>
      <c r="C8" s="313"/>
      <c r="D8" s="313"/>
      <c r="E8" s="313"/>
      <c r="F8" s="313"/>
      <c r="G8" s="313"/>
      <c r="H8" s="313"/>
      <c r="I8" s="314"/>
      <c r="K8" s="318" t="s">
        <v>52</v>
      </c>
      <c r="L8" s="319"/>
      <c r="M8" s="319"/>
      <c r="N8" s="320"/>
    </row>
    <row r="9" spans="1:15" ht="22.5" customHeight="1" x14ac:dyDescent="0.25">
      <c r="A9" s="312"/>
      <c r="B9" s="313"/>
      <c r="C9" s="313"/>
      <c r="D9" s="313"/>
      <c r="E9" s="313"/>
      <c r="F9" s="313"/>
      <c r="G9" s="313"/>
      <c r="H9" s="313"/>
      <c r="I9" s="314"/>
      <c r="K9" s="318" t="s">
        <v>53</v>
      </c>
      <c r="L9" s="319"/>
      <c r="M9" s="319"/>
      <c r="N9" s="320"/>
    </row>
    <row r="10" spans="1:15" ht="22.5" customHeight="1" x14ac:dyDescent="0.25">
      <c r="A10" s="312"/>
      <c r="B10" s="313"/>
      <c r="C10" s="313"/>
      <c r="D10" s="313"/>
      <c r="E10" s="313"/>
      <c r="F10" s="313"/>
      <c r="G10" s="313"/>
      <c r="H10" s="313"/>
      <c r="I10" s="314"/>
      <c r="K10" s="252" t="s">
        <v>54</v>
      </c>
      <c r="L10" s="152" t="s">
        <v>6</v>
      </c>
      <c r="M10" s="152">
        <v>5</v>
      </c>
      <c r="N10" s="253">
        <f>M10*$B$2*$G$2</f>
        <v>540</v>
      </c>
    </row>
    <row r="11" spans="1:15" ht="22.5" customHeight="1" thickBot="1" x14ac:dyDescent="0.3">
      <c r="A11" s="312"/>
      <c r="B11" s="313"/>
      <c r="C11" s="313"/>
      <c r="D11" s="313"/>
      <c r="E11" s="313"/>
      <c r="F11" s="313"/>
      <c r="G11" s="313"/>
      <c r="H11" s="313"/>
      <c r="I11" s="314"/>
      <c r="K11" s="254" t="s">
        <v>9</v>
      </c>
      <c r="L11" s="255" t="s">
        <v>7</v>
      </c>
      <c r="M11" s="255">
        <v>8</v>
      </c>
      <c r="N11" s="256">
        <f>M11*$B$2*$G$2</f>
        <v>864</v>
      </c>
    </row>
    <row r="12" spans="1:15" ht="22.5" customHeight="1" thickBot="1" x14ac:dyDescent="0.3">
      <c r="A12" s="315"/>
      <c r="B12" s="316"/>
      <c r="C12" s="316"/>
      <c r="D12" s="316"/>
      <c r="E12" s="316"/>
      <c r="F12" s="316"/>
      <c r="G12" s="316"/>
      <c r="H12" s="316"/>
      <c r="I12" s="317"/>
      <c r="J12" s="209"/>
      <c r="K12" s="209"/>
      <c r="L12" s="209"/>
      <c r="M12" s="209"/>
      <c r="N12" s="257"/>
      <c r="O12" s="209"/>
    </row>
    <row r="13" spans="1:15" ht="15.75" thickBot="1" x14ac:dyDescent="0.3">
      <c r="A13" s="5"/>
      <c r="B13" s="5"/>
      <c r="D13" s="2"/>
      <c r="F13" s="209"/>
      <c r="G13" s="5"/>
      <c r="K13" s="5"/>
      <c r="L13" s="5"/>
      <c r="M13" s="7"/>
      <c r="N13" s="6"/>
    </row>
    <row r="14" spans="1:15" s="5" customFormat="1" ht="19.5" thickBot="1" x14ac:dyDescent="0.35">
      <c r="A14" s="206" t="s">
        <v>72</v>
      </c>
      <c r="B14" s="307">
        <v>42096</v>
      </c>
      <c r="C14" s="308"/>
      <c r="D14" s="2"/>
      <c r="F14" s="210" t="str">
        <f>IF(RIGHT(A14,1)+0=0,"День5",IF(RIGHT(A14,1)+0&gt;5,"День"&amp;RIGHT(A14,1)-5,"День"&amp;RIGHT(A14,1)))</f>
        <v>День1</v>
      </c>
      <c r="G14"/>
      <c r="H14"/>
      <c r="I14"/>
      <c r="K14"/>
      <c r="L14"/>
      <c r="M14" s="1"/>
      <c r="N14" s="2"/>
    </row>
    <row r="15" spans="1:15" ht="15.75" thickBot="1" x14ac:dyDescent="0.3">
      <c r="A15" s="42" t="s">
        <v>0</v>
      </c>
      <c r="B15" s="43"/>
      <c r="C15" s="43"/>
      <c r="D15" s="45"/>
      <c r="E15" s="74"/>
      <c r="F15" s="215" t="s">
        <v>10</v>
      </c>
      <c r="G15" s="43"/>
      <c r="H15" s="43"/>
      <c r="I15" s="75"/>
      <c r="J15" s="74"/>
      <c r="K15" s="42" t="s">
        <v>28</v>
      </c>
      <c r="L15" s="43"/>
      <c r="M15" s="44"/>
      <c r="N15" s="45"/>
    </row>
    <row r="16" spans="1:15" x14ac:dyDescent="0.25">
      <c r="A16" s="46" t="str">
        <f ca="1">IF(A15&gt;0,INDEX(INDIRECT(F14),2,1),"")</f>
        <v>Овсянка</v>
      </c>
      <c r="B16" s="47" t="str">
        <f ca="1">IF(A15&gt;0,INDEX(INDIRECT(F14),2,2),"")</f>
        <v>гр</v>
      </c>
      <c r="C16" s="47">
        <f ca="1">IF(A15&gt;0,INDEX(INDIRECT(F14),2,3),"")</f>
        <v>60</v>
      </c>
      <c r="D16" s="49">
        <f ca="1">IF(C16="","",IF(C16&gt;0,ROUND(C16*$B$2,0),""))</f>
        <v>720</v>
      </c>
      <c r="E16" s="76"/>
      <c r="F16" s="207" t="str">
        <f ca="1">IF(F15&gt;0,INDEX(INDIRECT(F14),2,6),"")</f>
        <v>Суп русский продукт
Куриная лапша</v>
      </c>
      <c r="G16" s="47" t="str">
        <f ca="1">IF(F15&gt;0,INDEX(INDIRECT(F14),2,7),"")</f>
        <v>шт</v>
      </c>
      <c r="H16" s="47">
        <f ca="1">IF(F15&gt;0,INDEX(INDIRECT(F14),2,8),"")</f>
        <v>0.5</v>
      </c>
      <c r="I16" s="49">
        <f ca="1">IF(H16="","",IF(H16&gt;0,ROUND(H16*$B$2,0),""))</f>
        <v>6</v>
      </c>
      <c r="J16" s="76"/>
      <c r="K16" s="46" t="str">
        <f ca="1">IF(K15&gt;0,INDEX(INDIRECT(F14),2,11),"")</f>
        <v>Макароны</v>
      </c>
      <c r="L16" s="47" t="str">
        <f ca="1">IF(K15&gt;0,INDEX(INDIRECT(F14),2,12),"")</f>
        <v>гр</v>
      </c>
      <c r="M16" s="48">
        <f ca="1">IF(K15&gt;0,INDEX(INDIRECT(F14),2,13),"")</f>
        <v>100</v>
      </c>
      <c r="N16" s="49">
        <f ca="1">IF(M16="","",IF(M16&gt;0,ROUND(M16*$B$2,0),""))</f>
        <v>1200</v>
      </c>
    </row>
    <row r="17" spans="1:14" x14ac:dyDescent="0.25">
      <c r="A17" s="50" t="str">
        <f ca="1">IF(A15&gt;0,INDEX(INDIRECT(F14),3,1),"")</f>
        <v>Сушеные ягоды</v>
      </c>
      <c r="B17" s="51" t="str">
        <f ca="1">IF(A15&gt;0,INDEX(INDIRECT(F14),3,2),"")</f>
        <v>гр</v>
      </c>
      <c r="C17" s="51">
        <f ca="1">IF(A15&gt;0,INDEX(INDIRECT(F14),3,3),"")</f>
        <v>5</v>
      </c>
      <c r="D17" s="53">
        <f t="shared" ref="D17:D21" ca="1" si="0">IF(C17="","",IF(C17&gt;0,ROUND(C17*$B$2,0),""))</f>
        <v>60</v>
      </c>
      <c r="E17" s="76"/>
      <c r="F17" s="216" t="str">
        <f ca="1">IF(F15&gt;0,INDEX(INDIRECT(F14),3,6),"")</f>
        <v>Вермишель</v>
      </c>
      <c r="G17" s="51" t="str">
        <f ca="1">IF(F15&gt;0,INDEX(INDIRECT(F14),3,7),"")</f>
        <v>гр</v>
      </c>
      <c r="H17" s="51">
        <f ca="1">IF(F15&gt;0,INDEX(INDIRECT(F14),3,8),"")</f>
        <v>40</v>
      </c>
      <c r="I17" s="80">
        <f t="shared" ref="I17:I21" ca="1" si="1">IF(H17="","",IF(H17&gt;0,ROUND(H17*$B$2,0),""))</f>
        <v>480</v>
      </c>
      <c r="J17" s="76"/>
      <c r="K17" s="50" t="str">
        <f ca="1">IF(K15&gt;0,INDEX(INDIRECT(F14),3,11),"")</f>
        <v>Тушенка</v>
      </c>
      <c r="L17" s="51" t="str">
        <f ca="1">IF(K15&gt;0,INDEX(INDIRECT(F14),3,12),"")</f>
        <v>шт</v>
      </c>
      <c r="M17" s="52">
        <f ca="1">IF(K15&gt;0,INDEX(INDIRECT(F14),3,13),"")</f>
        <v>0.2</v>
      </c>
      <c r="N17" s="53">
        <f t="shared" ref="N17:N21" ca="1" si="2">IF(M17="","",IF(M17&gt;0,ROUND(M17*$B$2,0),""))</f>
        <v>2</v>
      </c>
    </row>
    <row r="18" spans="1:14" x14ac:dyDescent="0.25">
      <c r="A18" s="50" t="str">
        <f ca="1">IF(A15&gt;0,INDEX(INDIRECT(F14),4,1),"")</f>
        <v>Сгущенка</v>
      </c>
      <c r="B18" s="51" t="str">
        <f ca="1">IF(A15&gt;0,INDEX(INDIRECT(F14),4,2),"")</f>
        <v>гр</v>
      </c>
      <c r="C18" s="51">
        <f ca="1">IF(A15&gt;0,INDEX(INDIRECT(F14),4,3),"")</f>
        <v>50</v>
      </c>
      <c r="D18" s="53">
        <f t="shared" ca="1" si="0"/>
        <v>600</v>
      </c>
      <c r="E18" s="76"/>
      <c r="F18" s="216" t="str">
        <f ca="1">IF(F15&gt;0,INDEX(INDIRECT(F14),4,6),"")</f>
        <v>Сырокопченая колбаса</v>
      </c>
      <c r="G18" s="51" t="str">
        <f ca="1">IF(F15&gt;0,INDEX(INDIRECT(F14),4,7),"")</f>
        <v>гр</v>
      </c>
      <c r="H18" s="51">
        <f ca="1">IF(F15&gt;0,INDEX(INDIRECT(F14),4,8),"")</f>
        <v>50</v>
      </c>
      <c r="I18" s="80">
        <f t="shared" ca="1" si="1"/>
        <v>600</v>
      </c>
      <c r="J18" s="76"/>
      <c r="K18" s="50" t="str">
        <f ca="1">IF(K15&gt;0,INDEX(INDIRECT(F14),4,11),"")</f>
        <v>Пастила</v>
      </c>
      <c r="L18" s="51" t="str">
        <f ca="1">IF(K15&gt;0,INDEX(INDIRECT(F14),4,12),"")</f>
        <v>шт</v>
      </c>
      <c r="M18" s="173">
        <f ca="1">IF(K15&gt;0,INDEX(INDIRECT(F14),4,13),"")</f>
        <v>2</v>
      </c>
      <c r="N18" s="53">
        <f t="shared" ca="1" si="2"/>
        <v>24</v>
      </c>
    </row>
    <row r="19" spans="1:14" x14ac:dyDescent="0.25">
      <c r="A19" s="50" t="str">
        <f ca="1">IF(A15&gt;0,INDEX(INDIRECT(F14),5,1),"")</f>
        <v>Хлеб куски</v>
      </c>
      <c r="B19" s="51" t="str">
        <f ca="1">IF(A15&gt;0,INDEX(INDIRECT(F14),5,2),"")</f>
        <v>шт</v>
      </c>
      <c r="C19" s="51">
        <f ca="1">IF(A15&gt;0,INDEX(INDIRECT(F14),5,3),"")</f>
        <v>2</v>
      </c>
      <c r="D19" s="53">
        <f t="shared" ca="1" si="0"/>
        <v>24</v>
      </c>
      <c r="E19" s="76"/>
      <c r="F19" s="216" t="str">
        <f ca="1">IF(F15&gt;0,INDEX(INDIRECT(F14),5,6),"")</f>
        <v>Сникерс</v>
      </c>
      <c r="G19" s="51" t="str">
        <f ca="1">IF(F15&gt;0,INDEX(INDIRECT(F14),5,7),"")</f>
        <v>шт</v>
      </c>
      <c r="H19" s="51">
        <f ca="1">IF(F15&gt;0,INDEX(INDIRECT(F14),5,8),"")</f>
        <v>1</v>
      </c>
      <c r="I19" s="80">
        <f t="shared" ca="1" si="1"/>
        <v>12</v>
      </c>
      <c r="J19" s="76"/>
      <c r="K19" s="50" t="str">
        <f ca="1">IF(K15&gt;0,INDEX(INDIRECT(F14),5,11),"")</f>
        <v>Хлеб куски</v>
      </c>
      <c r="L19" s="51" t="str">
        <f ca="1">IF(K15&gt;0,INDEX(INDIRECT(F14),5,12),"")</f>
        <v>шт</v>
      </c>
      <c r="M19" s="179">
        <f ca="1">IF(K15&gt;0,INDEX(INDIRECT(F14),5,13),"")</f>
        <v>2</v>
      </c>
      <c r="N19" s="53">
        <f t="shared" ca="1" si="2"/>
        <v>24</v>
      </c>
    </row>
    <row r="20" spans="1:14" x14ac:dyDescent="0.25">
      <c r="A20" s="50" t="str">
        <f ca="1">IF(A15&gt;0,INDEX(INDIRECT(F14),6,1),"")</f>
        <v>Сыр плавленый</v>
      </c>
      <c r="B20" s="51" t="str">
        <f ca="1">IF(A15&gt;0,INDEX(INDIRECT(F14),6,2),"")</f>
        <v>гр</v>
      </c>
      <c r="C20" s="51">
        <f ca="1">IF(A15&gt;0,INDEX(INDIRECT(F14),6,3),"")</f>
        <v>35</v>
      </c>
      <c r="D20" s="53">
        <f t="shared" ca="1" si="0"/>
        <v>420</v>
      </c>
      <c r="E20" s="76"/>
      <c r="F20" s="216" t="str">
        <f ca="1">IF(F15&gt;0,INDEX(INDIRECT(F14),6,6),"")</f>
        <v>Хлеб куски</v>
      </c>
      <c r="G20" s="51" t="str">
        <f ca="1">IF(F15&gt;0,INDEX(INDIRECT(F14),6,7),"")</f>
        <v>шт</v>
      </c>
      <c r="H20" s="51">
        <f ca="1">IF(F15&gt;0,INDEX(INDIRECT(F14),6,8),"")</f>
        <v>2</v>
      </c>
      <c r="I20" s="80">
        <f t="shared" ca="1" si="1"/>
        <v>24</v>
      </c>
      <c r="J20" s="76"/>
      <c r="K20" s="50">
        <f ca="1">IF(K15&gt;0,INDEX(INDIRECT(F14),6,11),"")</f>
        <v>0</v>
      </c>
      <c r="L20" s="51" t="str">
        <f ca="1">IF(K15&gt;0,INDEX(INDIRECT(F14),6,12),"")</f>
        <v/>
      </c>
      <c r="M20" s="52" t="str">
        <f ca="1">IF(K15&gt;0,INDEX(INDIRECT(F14),6,13),"")</f>
        <v/>
      </c>
      <c r="N20" s="53" t="str">
        <f t="shared" ca="1" si="2"/>
        <v/>
      </c>
    </row>
    <row r="21" spans="1:14" ht="15.75" thickBot="1" x14ac:dyDescent="0.3">
      <c r="A21" s="54">
        <f ca="1">IF(A15&gt;0,INDEX(INDIRECT(F14),7,1),"")</f>
        <v>0</v>
      </c>
      <c r="B21" s="55">
        <f ca="1">IF(A15&gt;0,INDEX(INDIRECT(F14),7,2),"")</f>
        <v>0</v>
      </c>
      <c r="C21" s="55">
        <f ca="1">IF(A15&gt;0,INDEX(INDIRECT(F14),7,3),"")</f>
        <v>0</v>
      </c>
      <c r="D21" s="57" t="str">
        <f t="shared" ca="1" si="0"/>
        <v/>
      </c>
      <c r="E21" s="81"/>
      <c r="F21" s="217" t="str">
        <f ca="1">IF(F15&gt;0,INDEX(INDIRECT(F14),7,6),"")</f>
        <v>Чеснок</v>
      </c>
      <c r="G21" s="55" t="str">
        <f ca="1">IF(F15&gt;0,INDEX(INDIRECT(F14),7,7),"")</f>
        <v>шт</v>
      </c>
      <c r="H21" s="55">
        <f ca="1">IF(F15&gt;0,INDEX(INDIRECT(F14),7,8),"")</f>
        <v>0.25</v>
      </c>
      <c r="I21" s="83">
        <f t="shared" ca="1" si="1"/>
        <v>3</v>
      </c>
      <c r="J21" s="81"/>
      <c r="K21" s="54">
        <f ca="1">IF(K15&gt;0,INDEX(INDIRECT(F14),7,11),"")</f>
        <v>0</v>
      </c>
      <c r="L21" s="55" t="str">
        <f ca="1">IF(K15&gt;0,INDEX(INDIRECT(F14),7,12),"")</f>
        <v/>
      </c>
      <c r="M21" s="56" t="str">
        <f ca="1">IF(K15&gt;0,INDEX(INDIRECT(F14),7,13),"")</f>
        <v/>
      </c>
      <c r="N21" s="57" t="str">
        <f t="shared" ca="1" si="2"/>
        <v/>
      </c>
    </row>
    <row r="22" spans="1:14" ht="15.75" thickBot="1" x14ac:dyDescent="0.3">
      <c r="A22" s="5"/>
      <c r="B22" s="5"/>
      <c r="C22" s="5"/>
      <c r="D22" s="6"/>
      <c r="F22" s="209"/>
      <c r="G22" s="5"/>
      <c r="H22" s="5"/>
      <c r="I22" s="6"/>
      <c r="K22" s="5"/>
      <c r="L22" s="5" t="str">
        <f>IF($K22&gt;0,INDEX(Продукты,MATCH($K22,INDEX(Продукты,,1),0),2),"")</f>
        <v/>
      </c>
      <c r="M22" s="7" t="str">
        <f>IF($K22&gt;0,INDEX(Продукты,MATCH($K22,INDEX(Продукты,,1),0),3),"")</f>
        <v/>
      </c>
      <c r="N22" s="6"/>
    </row>
    <row r="23" spans="1:14" ht="19.5" thickBot="1" x14ac:dyDescent="0.35">
      <c r="A23" s="206" t="str">
        <f>IF(RIGHT(A14,2)+1&lt;=$G$2,"День "&amp;RIGHT(A14,2)+1,"")</f>
        <v>День 2</v>
      </c>
      <c r="B23" s="307">
        <f>B14+1</f>
        <v>42097</v>
      </c>
      <c r="C23" s="308"/>
      <c r="D23" s="6"/>
      <c r="F23" s="210" t="str">
        <f>IF(RIGHT(A23,1)+0=0,"День5",IF(RIGHT(A23,1)+0&gt;5,"День"&amp;RIGHT(A23,1)-5,"День"&amp;RIGHT(A23,1)))</f>
        <v>День2</v>
      </c>
      <c r="G23" s="5"/>
      <c r="H23" s="5"/>
      <c r="I23" s="6"/>
      <c r="K23" s="5"/>
      <c r="L23" s="5" t="str">
        <f>IF($K23&gt;0,INDEX(Продукты,MATCH($K23,INDEX(Продукты,,1),0),2),"")</f>
        <v/>
      </c>
      <c r="M23" s="7" t="str">
        <f>IF($K23&gt;0,INDEX(Продукты,MATCH($K23,INDEX(Продукты,,1),0),3),"")</f>
        <v/>
      </c>
      <c r="N23" s="6"/>
    </row>
    <row r="24" spans="1:14" ht="15.75" thickBot="1" x14ac:dyDescent="0.3">
      <c r="A24" s="10" t="s">
        <v>0</v>
      </c>
      <c r="B24" s="11"/>
      <c r="C24" s="11"/>
      <c r="D24" s="97"/>
      <c r="E24" s="96"/>
      <c r="F24" s="211" t="s">
        <v>10</v>
      </c>
      <c r="G24" s="11"/>
      <c r="H24" s="11"/>
      <c r="I24" s="97"/>
      <c r="J24" s="96"/>
      <c r="K24" s="10" t="s">
        <v>28</v>
      </c>
      <c r="L24" s="11"/>
      <c r="M24" s="12"/>
      <c r="N24" s="13"/>
    </row>
    <row r="25" spans="1:14" ht="30" x14ac:dyDescent="0.25">
      <c r="A25" s="14" t="str">
        <f ca="1">IF(A24&gt;0,INDEX(INDIRECT(F23),2,1),"")</f>
        <v>Гречка завтрак</v>
      </c>
      <c r="B25" s="15" t="str">
        <f t="shared" ref="B25:B30" ca="1" si="3">IF($A25&gt;0,INDEX(Продукты,MATCH($A25,INDEX(Продукты,,1),0),2),0)</f>
        <v>гр</v>
      </c>
      <c r="C25" s="15">
        <f t="shared" ref="C25:C30" ca="1" si="4">IF($A25&gt;0,INDEX(Продукты,MATCH($A25,INDEX(Продукты,,1),0),3),0)</f>
        <v>65</v>
      </c>
      <c r="D25" s="98">
        <f t="shared" ref="D25:D30" ca="1" si="5">ROUND(C25*$B$2,0)</f>
        <v>780</v>
      </c>
      <c r="E25" s="99"/>
      <c r="F25" s="100" t="str">
        <f ca="1">IF(F24&gt;0,INDEX(INDIRECT(F23),2,6),"")</f>
        <v>Суп русский продукт
Борщ</v>
      </c>
      <c r="G25" s="15" t="str">
        <f t="shared" ref="G25:G30" ca="1" si="6">IF($F25&gt;0,INDEX(Продукты,MATCH($F25,INDEX(Продукты,,1),0),2),0)</f>
        <v>шт</v>
      </c>
      <c r="H25" s="15">
        <f t="shared" ref="H25:H30" ca="1" si="7">IF($F25&gt;0,INDEX(Продукты,MATCH($F25,INDEX(Продукты,,1),0),3),0)</f>
        <v>0.5</v>
      </c>
      <c r="I25" s="98">
        <f t="shared" ref="I25:I30" ca="1" si="8">H25*$B$2</f>
        <v>6</v>
      </c>
      <c r="J25" s="99"/>
      <c r="K25" s="101" t="str">
        <f ca="1">IF(K24&gt;0,INDEX(INDIRECT(F23),2,11),"")</f>
        <v>Кар.пюр.</v>
      </c>
      <c r="L25" s="15" t="str">
        <f t="shared" ref="L25:L32" ca="1" si="9">IF($K25&gt;0,INDEX(Продукты,MATCH($K25,INDEX(Продукты,,1),0),2),"")</f>
        <v>гр</v>
      </c>
      <c r="M25" s="16">
        <f t="shared" ref="M25:M32" ca="1" si="10">IF($K25&gt;0,INDEX(Продукты,MATCH($K25,INDEX(Продукты,,1),0),3),"")</f>
        <v>50</v>
      </c>
      <c r="N25" s="17">
        <f ca="1">M25*$B$2</f>
        <v>600</v>
      </c>
    </row>
    <row r="26" spans="1:14" x14ac:dyDescent="0.25">
      <c r="A26" s="18" t="str">
        <f ca="1">IF(A24&gt;0,INDEX(INDIRECT(F23),3,1),"")</f>
        <v>Сухофрукты</v>
      </c>
      <c r="B26" s="19" t="str">
        <f t="shared" ca="1" si="3"/>
        <v>гр</v>
      </c>
      <c r="C26" s="19">
        <f t="shared" ca="1" si="4"/>
        <v>20</v>
      </c>
      <c r="D26" s="102">
        <f t="shared" ca="1" si="5"/>
        <v>240</v>
      </c>
      <c r="E26" s="99"/>
      <c r="F26" s="218" t="str">
        <f ca="1">IF(F24&gt;0,INDEX(INDIRECT(F23),3,6),"")</f>
        <v>Смесь Cykoria овощная сухая</v>
      </c>
      <c r="G26" s="19" t="str">
        <f t="shared" ca="1" si="6"/>
        <v>шт</v>
      </c>
      <c r="H26" s="104">
        <f t="shared" ca="1" si="7"/>
        <v>8.3333333333333329E-2</v>
      </c>
      <c r="I26" s="102">
        <f t="shared" ca="1" si="8"/>
        <v>1</v>
      </c>
      <c r="J26" s="99"/>
      <c r="K26" s="103" t="str">
        <f ca="1">IF(K24&gt;0,INDEX(INDIRECT(F23),3,11),"")</f>
        <v>Тушенка</v>
      </c>
      <c r="L26" s="19" t="str">
        <f t="shared" ca="1" si="9"/>
        <v>шт</v>
      </c>
      <c r="M26" s="20">
        <f t="shared" ca="1" si="10"/>
        <v>0.2</v>
      </c>
      <c r="N26" s="21">
        <f ca="1">M26*$B$2</f>
        <v>2.4000000000000004</v>
      </c>
    </row>
    <row r="27" spans="1:14" x14ac:dyDescent="0.25">
      <c r="A27" s="18" t="str">
        <f ca="1">IF(A24&gt;0,INDEX(INDIRECT(F23),4,1),"")</f>
        <v>Сгущенка</v>
      </c>
      <c r="B27" s="19" t="str">
        <f t="shared" ca="1" si="3"/>
        <v>гр</v>
      </c>
      <c r="C27" s="19">
        <f t="shared" ca="1" si="4"/>
        <v>50</v>
      </c>
      <c r="D27" s="102">
        <f t="shared" ca="1" si="5"/>
        <v>600</v>
      </c>
      <c r="E27" s="99"/>
      <c r="F27" s="218" t="str">
        <f ca="1">IF(F24&gt;0,INDEX(INDIRECT(F23),4,6),"")</f>
        <v>Сыр</v>
      </c>
      <c r="G27" s="19" t="str">
        <f t="shared" ca="1" si="6"/>
        <v>гр</v>
      </c>
      <c r="H27" s="19">
        <f t="shared" ca="1" si="7"/>
        <v>50</v>
      </c>
      <c r="I27" s="102">
        <f t="shared" ca="1" si="8"/>
        <v>600</v>
      </c>
      <c r="J27" s="99"/>
      <c r="K27" s="103" t="str">
        <f ca="1">IF(K24&gt;0,INDEX(INDIRECT(F23),4,11),"")</f>
        <v>Печенье пачка</v>
      </c>
      <c r="L27" s="19" t="str">
        <f t="shared" ca="1" si="9"/>
        <v>шт</v>
      </c>
      <c r="M27" s="20">
        <f t="shared" ca="1" si="10"/>
        <v>0.5</v>
      </c>
      <c r="N27" s="21">
        <f ca="1">M27*$B$2</f>
        <v>6</v>
      </c>
    </row>
    <row r="28" spans="1:14" x14ac:dyDescent="0.25">
      <c r="A28" s="18" t="str">
        <f ca="1">IF(A24&gt;0,INDEX(INDIRECT(F23),5,1),"")</f>
        <v>Хлеб куски</v>
      </c>
      <c r="B28" s="19" t="str">
        <f t="shared" ca="1" si="3"/>
        <v>шт</v>
      </c>
      <c r="C28" s="19">
        <f t="shared" ca="1" si="4"/>
        <v>2</v>
      </c>
      <c r="D28" s="102">
        <f t="shared" ca="1" si="5"/>
        <v>24</v>
      </c>
      <c r="E28" s="99"/>
      <c r="F28" s="218" t="str">
        <f ca="1">IF(F24&gt;0,INDEX(INDIRECT(F23),5,6),"")</f>
        <v>Марс</v>
      </c>
      <c r="G28" s="19" t="str">
        <f t="shared" ca="1" si="6"/>
        <v>шт</v>
      </c>
      <c r="H28" s="19">
        <f t="shared" ca="1" si="7"/>
        <v>1</v>
      </c>
      <c r="I28" s="102">
        <f t="shared" ca="1" si="8"/>
        <v>12</v>
      </c>
      <c r="J28" s="99"/>
      <c r="K28" s="103" t="str">
        <f ca="1">IF(K24&gt;0,INDEX(INDIRECT(F23),5,11),"")</f>
        <v>Хлеб куски</v>
      </c>
      <c r="L28" s="19" t="str">
        <f t="shared" ca="1" si="9"/>
        <v>шт</v>
      </c>
      <c r="M28" s="174">
        <f t="shared" ca="1" si="10"/>
        <v>2</v>
      </c>
      <c r="N28" s="21">
        <f ca="1">M28*$B$2</f>
        <v>24</v>
      </c>
    </row>
    <row r="29" spans="1:14" x14ac:dyDescent="0.25">
      <c r="A29" s="18" t="str">
        <f ca="1">IF(A24&gt;0,INDEX(INDIRECT(F23),6,1),"")</f>
        <v>Паштет</v>
      </c>
      <c r="B29" s="19" t="str">
        <f t="shared" ca="1" si="3"/>
        <v>шт</v>
      </c>
      <c r="C29" s="19">
        <f t="shared" ca="1" si="4"/>
        <v>0.33333333333333331</v>
      </c>
      <c r="D29" s="102">
        <f t="shared" ca="1" si="5"/>
        <v>4</v>
      </c>
      <c r="E29" s="99"/>
      <c r="F29" s="218" t="str">
        <f ca="1">IF(F24&gt;0,INDEX(INDIRECT(F23),6,6),"")</f>
        <v>Хлеб куски</v>
      </c>
      <c r="G29" s="19" t="str">
        <f t="shared" ca="1" si="6"/>
        <v>шт</v>
      </c>
      <c r="H29" s="19">
        <f t="shared" ca="1" si="7"/>
        <v>2</v>
      </c>
      <c r="I29" s="102">
        <f t="shared" ca="1" si="8"/>
        <v>24</v>
      </c>
      <c r="J29" s="99"/>
      <c r="K29" s="103" t="str">
        <f ca="1">IF(K24&gt;0,INDEX(INDIRECT(F23),6,11),"")</f>
        <v>Лук</v>
      </c>
      <c r="L29" s="19" t="str">
        <f t="shared" ca="1" si="9"/>
        <v>шт</v>
      </c>
      <c r="M29" s="20">
        <f t="shared" ca="1" si="10"/>
        <v>0.25</v>
      </c>
      <c r="N29" s="21"/>
    </row>
    <row r="30" spans="1:14" ht="15.75" thickBot="1" x14ac:dyDescent="0.3">
      <c r="A30" s="22">
        <f ca="1">IF(A24&gt;0,INDEX(INDIRECT(F23),7,1),"")</f>
        <v>0</v>
      </c>
      <c r="B30" s="23">
        <f t="shared" ca="1" si="3"/>
        <v>0</v>
      </c>
      <c r="C30" s="23">
        <f t="shared" ca="1" si="4"/>
        <v>0</v>
      </c>
      <c r="D30" s="105">
        <f t="shared" ca="1" si="5"/>
        <v>0</v>
      </c>
      <c r="E30" s="106"/>
      <c r="F30" s="219" t="str">
        <f ca="1">IF(F24&gt;0,INDEX(INDIRECT(F23),7,6),"")</f>
        <v>Чеснок</v>
      </c>
      <c r="G30" s="23" t="str">
        <f t="shared" ca="1" si="6"/>
        <v>шт</v>
      </c>
      <c r="H30" s="23">
        <f t="shared" ca="1" si="7"/>
        <v>0.25</v>
      </c>
      <c r="I30" s="105">
        <f t="shared" ca="1" si="8"/>
        <v>3</v>
      </c>
      <c r="J30" s="106"/>
      <c r="K30" s="107">
        <f ca="1">IF(K24&gt;0,INDEX(INDIRECT(F23),7,11),"")</f>
        <v>0</v>
      </c>
      <c r="L30" s="23" t="str">
        <f t="shared" ca="1" si="9"/>
        <v/>
      </c>
      <c r="M30" s="24" t="str">
        <f t="shared" ca="1" si="10"/>
        <v/>
      </c>
      <c r="N30" s="25"/>
    </row>
    <row r="31" spans="1:14" s="5" customFormat="1" ht="15.75" thickBot="1" x14ac:dyDescent="0.3">
      <c r="D31" s="6"/>
      <c r="F31" s="209"/>
      <c r="I31" s="6"/>
      <c r="L31" s="5" t="str">
        <f t="shared" si="9"/>
        <v/>
      </c>
      <c r="M31" s="7" t="str">
        <f t="shared" si="10"/>
        <v/>
      </c>
      <c r="N31" s="6"/>
    </row>
    <row r="32" spans="1:14" s="5" customFormat="1" ht="19.5" thickBot="1" x14ac:dyDescent="0.35">
      <c r="A32" s="206" t="str">
        <f>IF(RIGHT(A23,2)+1&lt;=$G$2,"День "&amp;RIGHT(A23,2)+1,"")</f>
        <v>День 3</v>
      </c>
      <c r="B32" s="307">
        <f>B23+1</f>
        <v>42098</v>
      </c>
      <c r="C32" s="308"/>
      <c r="D32" s="6"/>
      <c r="F32" s="210" t="str">
        <f>IF(RIGHT(A32,1)+0=0,"День5",IF(RIGHT(A32,1)+0&gt;5,"День"&amp;RIGHT(A32,1)-5,"День"&amp;RIGHT(A32,1)))</f>
        <v>День3</v>
      </c>
      <c r="I32" s="6"/>
      <c r="L32" s="5" t="str">
        <f t="shared" si="9"/>
        <v/>
      </c>
      <c r="M32" s="7" t="str">
        <f t="shared" si="10"/>
        <v/>
      </c>
      <c r="N32" s="6"/>
    </row>
    <row r="33" spans="1:14" ht="15.75" thickBot="1" x14ac:dyDescent="0.3">
      <c r="A33" s="26" t="s">
        <v>0</v>
      </c>
      <c r="B33" s="27"/>
      <c r="C33" s="27"/>
      <c r="D33" s="109"/>
      <c r="E33" s="108"/>
      <c r="F33" s="220" t="s">
        <v>10</v>
      </c>
      <c r="G33" s="27"/>
      <c r="H33" s="27"/>
      <c r="I33" s="109"/>
      <c r="J33" s="108"/>
      <c r="K33" s="26" t="s">
        <v>28</v>
      </c>
      <c r="L33" s="27"/>
      <c r="M33" s="28"/>
      <c r="N33" s="29"/>
    </row>
    <row r="34" spans="1:14" ht="30" x14ac:dyDescent="0.25">
      <c r="A34" s="30" t="str">
        <f ca="1">IF(A33&gt;0,INDEX(INDIRECT(F32),2,1),"")</f>
        <v>Пшенка</v>
      </c>
      <c r="B34" s="31" t="str">
        <f t="shared" ref="B34:B39" ca="1" si="11">IF($A34&gt;0,INDEX(Продукты,MATCH($A34,INDEX(Продукты,,1),0),2),0)</f>
        <v>гр</v>
      </c>
      <c r="C34" s="31">
        <f t="shared" ref="C34:C39" ca="1" si="12">IF($A34&gt;0,INDEX(Продукты,MATCH($A34,INDEX(Продукты,,1),0),3),0)</f>
        <v>60</v>
      </c>
      <c r="D34" s="110">
        <f t="shared" ref="D34:D39" ca="1" si="13">ROUND(C34*$B$2,0)</f>
        <v>720</v>
      </c>
      <c r="E34" s="111"/>
      <c r="F34" s="112" t="str">
        <f ca="1">IF(F33&gt;0,INDEX(INDIRECT(F32),2,6),"")</f>
        <v>Суп русский продукт
Мясной</v>
      </c>
      <c r="G34" s="31" t="str">
        <f t="shared" ref="G34:G39" ca="1" si="14">IF($F34&gt;0,INDEX(Продукты,MATCH($F34,INDEX(Продукты,,1),0),2),0)</f>
        <v>шт</v>
      </c>
      <c r="H34" s="31">
        <f t="shared" ref="H34:H39" ca="1" si="15">IF($F34&gt;0,INDEX(Продукты,MATCH($F34,INDEX(Продукты,,1),0),3),0)</f>
        <v>0.5</v>
      </c>
      <c r="I34" s="110">
        <f t="shared" ref="I34:I39" ca="1" si="16">H34*$B$2</f>
        <v>6</v>
      </c>
      <c r="J34" s="111"/>
      <c r="K34" s="113" t="str">
        <f ca="1">IF(K33&gt;0,INDEX(INDIRECT(F32),2,11),"")</f>
        <v>Рис</v>
      </c>
      <c r="L34" s="31" t="str">
        <f t="shared" ref="L34:L41" ca="1" si="17">IF($K34&gt;0,INDEX(Продукты,MATCH($K34,INDEX(Продукты,,1),0),2),"")</f>
        <v>гр</v>
      </c>
      <c r="M34" s="32">
        <f t="shared" ref="M34:M41" ca="1" si="18">IF($K34&gt;0,INDEX(Продукты,MATCH($K34,INDEX(Продукты,,1),0),3),"")</f>
        <v>90</v>
      </c>
      <c r="N34" s="33">
        <f ca="1">M34*$B$2</f>
        <v>1080</v>
      </c>
    </row>
    <row r="35" spans="1:14" x14ac:dyDescent="0.25">
      <c r="A35" s="34" t="str">
        <f ca="1">IF(A33&gt;0,INDEX(INDIRECT(F32),3,1),"")</f>
        <v>Сухофрукты</v>
      </c>
      <c r="B35" s="35" t="str">
        <f t="shared" ca="1" si="11"/>
        <v>гр</v>
      </c>
      <c r="C35" s="35">
        <f t="shared" ca="1" si="12"/>
        <v>20</v>
      </c>
      <c r="D35" s="114">
        <f t="shared" ca="1" si="13"/>
        <v>240</v>
      </c>
      <c r="E35" s="111"/>
      <c r="F35" s="172" t="str">
        <f ca="1">IF(F33&gt;0,INDEX(INDIRECT(F32),3,6),"")</f>
        <v>Смесь Cykoria овощная сухая</v>
      </c>
      <c r="G35" s="35" t="str">
        <f t="shared" ca="1" si="14"/>
        <v>шт</v>
      </c>
      <c r="H35" s="178">
        <f t="shared" ca="1" si="15"/>
        <v>8.3333333333333329E-2</v>
      </c>
      <c r="I35" s="114">
        <f t="shared" ca="1" si="16"/>
        <v>1</v>
      </c>
      <c r="J35" s="111"/>
      <c r="K35" s="115" t="str">
        <f ca="1">IF(K33&gt;0,INDEX(INDIRECT(F32),3,11),"")</f>
        <v>Рыбные консервы</v>
      </c>
      <c r="L35" s="35" t="str">
        <f t="shared" ca="1" si="17"/>
        <v>шт</v>
      </c>
      <c r="M35" s="36">
        <f t="shared" ca="1" si="18"/>
        <v>0.44444444444444442</v>
      </c>
      <c r="N35" s="37">
        <f ca="1">M35*$B$2</f>
        <v>5.333333333333333</v>
      </c>
    </row>
    <row r="36" spans="1:14" x14ac:dyDescent="0.25">
      <c r="A36" s="34" t="str">
        <f ca="1">IF(A33&gt;0,INDEX(INDIRECT(F32),4,1),"")</f>
        <v>Сгущенка</v>
      </c>
      <c r="B36" s="35" t="str">
        <f t="shared" ca="1" si="11"/>
        <v>гр</v>
      </c>
      <c r="C36" s="35">
        <f t="shared" ca="1" si="12"/>
        <v>50</v>
      </c>
      <c r="D36" s="114">
        <f t="shared" ca="1" si="13"/>
        <v>600</v>
      </c>
      <c r="E36" s="111"/>
      <c r="F36" s="172" t="str">
        <f ca="1">IF(F33&gt;0,INDEX(INDIRECT(F32),4,6),"")</f>
        <v>Сырокопченая колбаса</v>
      </c>
      <c r="G36" s="35" t="str">
        <f t="shared" ca="1" si="14"/>
        <v>гр</v>
      </c>
      <c r="H36" s="35">
        <f t="shared" ca="1" si="15"/>
        <v>50</v>
      </c>
      <c r="I36" s="114">
        <f t="shared" ca="1" si="16"/>
        <v>600</v>
      </c>
      <c r="J36" s="111"/>
      <c r="K36" s="115" t="str">
        <f ca="1">IF(K33&gt;0,INDEX(INDIRECT(F32),4,11),"")</f>
        <v>Пряники</v>
      </c>
      <c r="L36" s="35" t="str">
        <f t="shared" ca="1" si="17"/>
        <v>шт</v>
      </c>
      <c r="M36" s="175">
        <f t="shared" ca="1" si="18"/>
        <v>2</v>
      </c>
      <c r="N36" s="37">
        <f ca="1">M36*$B$2</f>
        <v>24</v>
      </c>
    </row>
    <row r="37" spans="1:14" x14ac:dyDescent="0.25">
      <c r="A37" s="34" t="str">
        <f ca="1">IF(A33&gt;0,INDEX(INDIRECT(F32),5,1),"")</f>
        <v>Хлеб куски</v>
      </c>
      <c r="B37" s="35" t="str">
        <f t="shared" ca="1" si="11"/>
        <v>шт</v>
      </c>
      <c r="C37" s="35">
        <f t="shared" ca="1" si="12"/>
        <v>2</v>
      </c>
      <c r="D37" s="114">
        <f t="shared" ca="1" si="13"/>
        <v>24</v>
      </c>
      <c r="E37" s="111"/>
      <c r="F37" s="172" t="str">
        <f ca="1">IF(F33&gt;0,INDEX(INDIRECT(F32),5,6),"")</f>
        <v>Натс</v>
      </c>
      <c r="G37" s="35" t="str">
        <f t="shared" ca="1" si="14"/>
        <v>шт</v>
      </c>
      <c r="H37" s="35">
        <f t="shared" ca="1" si="15"/>
        <v>1</v>
      </c>
      <c r="I37" s="114">
        <f t="shared" ca="1" si="16"/>
        <v>12</v>
      </c>
      <c r="J37" s="111"/>
      <c r="K37" s="115" t="str">
        <f ca="1">IF(K33&gt;0,INDEX(INDIRECT(F32),5,11),"")</f>
        <v>Хлеб куски</v>
      </c>
      <c r="L37" s="35" t="str">
        <f t="shared" ca="1" si="17"/>
        <v>шт</v>
      </c>
      <c r="M37" s="175">
        <f t="shared" ca="1" si="18"/>
        <v>2</v>
      </c>
      <c r="N37" s="37">
        <f ca="1">M37*$B$2</f>
        <v>24</v>
      </c>
    </row>
    <row r="38" spans="1:14" x14ac:dyDescent="0.25">
      <c r="A38" s="34" t="str">
        <f ca="1">IF(A33&gt;0,INDEX(INDIRECT(F32),6,1),"")</f>
        <v>Сыр</v>
      </c>
      <c r="B38" s="35" t="str">
        <f t="shared" ca="1" si="11"/>
        <v>гр</v>
      </c>
      <c r="C38" s="35">
        <f t="shared" ca="1" si="12"/>
        <v>50</v>
      </c>
      <c r="D38" s="114">
        <f t="shared" ca="1" si="13"/>
        <v>600</v>
      </c>
      <c r="E38" s="111"/>
      <c r="F38" s="172" t="str">
        <f ca="1">IF(F33&gt;0,INDEX(INDIRECT(F32),6,6),"")</f>
        <v>Хлеб куски</v>
      </c>
      <c r="G38" s="35" t="str">
        <f t="shared" ca="1" si="14"/>
        <v>шт</v>
      </c>
      <c r="H38" s="35">
        <f t="shared" ca="1" si="15"/>
        <v>2</v>
      </c>
      <c r="I38" s="114">
        <f t="shared" ca="1" si="16"/>
        <v>24</v>
      </c>
      <c r="J38" s="111"/>
      <c r="K38" s="115" t="str">
        <f ca="1">IF(K33&gt;0,INDEX(INDIRECT(F32),6,11),"")</f>
        <v>Лук</v>
      </c>
      <c r="L38" s="35" t="str">
        <f t="shared" ca="1" si="17"/>
        <v>шт</v>
      </c>
      <c r="M38" s="36">
        <f t="shared" ca="1" si="18"/>
        <v>0.25</v>
      </c>
      <c r="N38" s="37"/>
    </row>
    <row r="39" spans="1:14" ht="15.75" thickBot="1" x14ac:dyDescent="0.3">
      <c r="A39" s="38">
        <f ca="1">IF(A33&gt;0,INDEX(INDIRECT(F32),7,1),"")</f>
        <v>0</v>
      </c>
      <c r="B39" s="39">
        <f t="shared" ca="1" si="11"/>
        <v>0</v>
      </c>
      <c r="C39" s="39">
        <f t="shared" ca="1" si="12"/>
        <v>0</v>
      </c>
      <c r="D39" s="116">
        <f t="shared" ca="1" si="13"/>
        <v>0</v>
      </c>
      <c r="E39" s="117"/>
      <c r="F39" s="221" t="str">
        <f ca="1">IF(F33&gt;0,INDEX(INDIRECT(F32),7,6),"")</f>
        <v>Чеснок</v>
      </c>
      <c r="G39" s="39" t="str">
        <f t="shared" ca="1" si="14"/>
        <v>шт</v>
      </c>
      <c r="H39" s="39">
        <f t="shared" ca="1" si="15"/>
        <v>0.25</v>
      </c>
      <c r="I39" s="116">
        <f t="shared" ca="1" si="16"/>
        <v>3</v>
      </c>
      <c r="J39" s="117"/>
      <c r="K39" s="118">
        <f ca="1">IF(K33&gt;0,INDEX(INDIRECT(F32),7,11),"")</f>
        <v>0</v>
      </c>
      <c r="L39" s="39" t="str">
        <f t="shared" ca="1" si="17"/>
        <v/>
      </c>
      <c r="M39" s="40" t="str">
        <f t="shared" ca="1" si="18"/>
        <v/>
      </c>
      <c r="N39" s="41"/>
    </row>
    <row r="40" spans="1:14" s="5" customFormat="1" ht="15.75" thickBot="1" x14ac:dyDescent="0.3">
      <c r="D40" s="6"/>
      <c r="F40" s="209"/>
      <c r="I40" s="6"/>
      <c r="L40" s="5" t="str">
        <f t="shared" si="17"/>
        <v/>
      </c>
      <c r="M40" s="7" t="str">
        <f t="shared" si="18"/>
        <v/>
      </c>
      <c r="N40" s="6"/>
    </row>
    <row r="41" spans="1:14" s="5" customFormat="1" ht="19.5" thickBot="1" x14ac:dyDescent="0.35">
      <c r="A41" s="206" t="str">
        <f>IF(RIGHT(A32,2)+1&lt;=$G$2,"День "&amp;RIGHT(A32,2)+1,"")</f>
        <v>День 4</v>
      </c>
      <c r="B41" s="307">
        <f>B32+1</f>
        <v>42099</v>
      </c>
      <c r="C41" s="308"/>
      <c r="F41" s="210" t="str">
        <f>IF(RIGHT(A41,1)+0=0,"День5",IF(RIGHT(A41,1)+0&gt;5,"День"&amp;RIGHT(A41,1)-5,"День"&amp;RIGHT(A41,1)))</f>
        <v>День4</v>
      </c>
      <c r="L41" s="5" t="str">
        <f t="shared" si="17"/>
        <v/>
      </c>
      <c r="M41" s="7" t="str">
        <f t="shared" si="18"/>
        <v/>
      </c>
      <c r="N41" s="6"/>
    </row>
    <row r="42" spans="1:14" ht="15.75" thickBot="1" x14ac:dyDescent="0.3">
      <c r="A42" s="58" t="s">
        <v>0</v>
      </c>
      <c r="B42" s="59"/>
      <c r="C42" s="59"/>
      <c r="D42" s="85"/>
      <c r="E42" s="84"/>
      <c r="F42" s="222" t="s">
        <v>10</v>
      </c>
      <c r="G42" s="59"/>
      <c r="H42" s="59"/>
      <c r="I42" s="85"/>
      <c r="J42" s="84"/>
      <c r="K42" s="58" t="s">
        <v>28</v>
      </c>
      <c r="L42" s="59"/>
      <c r="M42" s="60"/>
      <c r="N42" s="61"/>
    </row>
    <row r="43" spans="1:14" ht="30" x14ac:dyDescent="0.25">
      <c r="A43" s="62" t="str">
        <f ca="1">IF(A42&gt;0,INDEX(INDIRECT(F41),2,1),"")</f>
        <v>4 Злака</v>
      </c>
      <c r="B43" s="63" t="str">
        <f t="shared" ref="B43:B48" ca="1" si="19">IF($A43&gt;0,INDEX(Продукты,MATCH($A43,INDEX(Продукты,,1),0),2),0)</f>
        <v>гр</v>
      </c>
      <c r="C43" s="63">
        <f t="shared" ref="C43:C48" ca="1" si="20">IF($A43&gt;0,INDEX(Продукты,MATCH($A43,INDEX(Продукты,,1),0),3),0)</f>
        <v>60</v>
      </c>
      <c r="D43" s="65">
        <f t="shared" ref="D43:D48" ca="1" si="21">ROUND(C43*$B$2,0)</f>
        <v>720</v>
      </c>
      <c r="E43" s="87"/>
      <c r="F43" s="223" t="str">
        <f ca="1">IF(F42&gt;0,INDEX(INDIRECT(F41),2,6),"")</f>
        <v>Суп русский продукт
Харчо</v>
      </c>
      <c r="G43" s="63" t="str">
        <f t="shared" ref="G43:G48" ca="1" si="22">IF($F43&gt;0,INDEX(Продукты,MATCH($F43,INDEX(Продукты,,1),0),2),0)</f>
        <v>шт</v>
      </c>
      <c r="H43" s="63">
        <f t="shared" ref="H43:H48" ca="1" si="23">IF($F43&gt;0,INDEX(Продукты,MATCH($F43,INDEX(Продукты,,1),0),3),0)</f>
        <v>0.5</v>
      </c>
      <c r="I43" s="86">
        <f t="shared" ref="I43:I48" ca="1" si="24">H43*$B$2</f>
        <v>6</v>
      </c>
      <c r="J43" s="87"/>
      <c r="K43" s="62" t="str">
        <f ca="1">IF(K42&gt;0,INDEX(INDIRECT(F41),2,11),"")</f>
        <v>Гречка ужин</v>
      </c>
      <c r="L43" s="63" t="str">
        <f t="shared" ref="L43:L50" ca="1" si="25">IF($K43&gt;0,INDEX(Продукты,MATCH($K43,INDEX(Продукты,,1),0),2),"")</f>
        <v>гр</v>
      </c>
      <c r="M43" s="64">
        <f t="shared" ref="M43:M50" ca="1" si="26">IF($K43&gt;0,INDEX(Продукты,MATCH($K43,INDEX(Продукты,,1),0),3),"")</f>
        <v>80</v>
      </c>
      <c r="N43" s="65">
        <f ca="1">M43*$B$2</f>
        <v>960</v>
      </c>
    </row>
    <row r="44" spans="1:14" x14ac:dyDescent="0.25">
      <c r="A44" s="66" t="str">
        <f ca="1">IF(A42&gt;0,INDEX(INDIRECT(F41),3,1),"")</f>
        <v>Сушеные ягоды</v>
      </c>
      <c r="B44" s="67" t="str">
        <f t="shared" ca="1" si="19"/>
        <v>гр</v>
      </c>
      <c r="C44" s="67">
        <f t="shared" ca="1" si="20"/>
        <v>5</v>
      </c>
      <c r="D44" s="69">
        <f t="shared" ca="1" si="21"/>
        <v>60</v>
      </c>
      <c r="E44" s="87"/>
      <c r="F44" s="224" t="str">
        <f ca="1">IF(F42&gt;0,INDEX(INDIRECT(F41),3,6),"")</f>
        <v>Смесь Cykoria овощная сухая</v>
      </c>
      <c r="G44" s="67" t="str">
        <f t="shared" ca="1" si="22"/>
        <v>шт</v>
      </c>
      <c r="H44" s="67">
        <f t="shared" ca="1" si="23"/>
        <v>8.3333333333333329E-2</v>
      </c>
      <c r="I44" s="90">
        <f t="shared" ca="1" si="24"/>
        <v>1</v>
      </c>
      <c r="J44" s="87"/>
      <c r="K44" s="66" t="str">
        <f ca="1">IF(K42&gt;0,INDEX(INDIRECT(F41),3,11),"")</f>
        <v>Тушенка</v>
      </c>
      <c r="L44" s="67" t="str">
        <f t="shared" ca="1" si="25"/>
        <v>шт</v>
      </c>
      <c r="M44" s="68">
        <f t="shared" ca="1" si="26"/>
        <v>0.2</v>
      </c>
      <c r="N44" s="69">
        <f ca="1">M44*$B$2</f>
        <v>2.4000000000000004</v>
      </c>
    </row>
    <row r="45" spans="1:14" x14ac:dyDescent="0.25">
      <c r="A45" s="66" t="str">
        <f ca="1">IF(A42&gt;0,INDEX(INDIRECT(F41),4,1),"")</f>
        <v>Сгущенка</v>
      </c>
      <c r="B45" s="67" t="str">
        <f t="shared" ca="1" si="19"/>
        <v>гр</v>
      </c>
      <c r="C45" s="67">
        <f t="shared" ca="1" si="20"/>
        <v>50</v>
      </c>
      <c r="D45" s="69">
        <f t="shared" ca="1" si="21"/>
        <v>600</v>
      </c>
      <c r="E45" s="87"/>
      <c r="F45" s="224" t="str">
        <f ca="1">IF(F42&gt;0,INDEX(INDIRECT(F41),4,6),"")</f>
        <v>Сыр</v>
      </c>
      <c r="G45" s="67" t="str">
        <f t="shared" ca="1" si="22"/>
        <v>гр</v>
      </c>
      <c r="H45" s="67">
        <f t="shared" ca="1" si="23"/>
        <v>50</v>
      </c>
      <c r="I45" s="90">
        <f t="shared" ca="1" si="24"/>
        <v>600</v>
      </c>
      <c r="J45" s="87"/>
      <c r="K45" s="66" t="str">
        <f ca="1">IF(K42&gt;0,INDEX(INDIRECT(F41),4,11),"")</f>
        <v>Вафельный торт</v>
      </c>
      <c r="L45" s="67" t="str">
        <f t="shared" ca="1" si="25"/>
        <v>шт</v>
      </c>
      <c r="M45" s="176">
        <f t="shared" ca="1" si="26"/>
        <v>0.1111111111111111</v>
      </c>
      <c r="N45" s="69">
        <f ca="1">M45*$B$2</f>
        <v>1.3333333333333333</v>
      </c>
    </row>
    <row r="46" spans="1:14" x14ac:dyDescent="0.25">
      <c r="A46" s="66" t="str">
        <f ca="1">IF(A42&gt;0,INDEX(INDIRECT(F41),5,1),"")</f>
        <v>Хлеб куски</v>
      </c>
      <c r="B46" s="67" t="str">
        <f t="shared" ca="1" si="19"/>
        <v>шт</v>
      </c>
      <c r="C46" s="67">
        <f t="shared" ca="1" si="20"/>
        <v>2</v>
      </c>
      <c r="D46" s="69">
        <f t="shared" ca="1" si="21"/>
        <v>24</v>
      </c>
      <c r="E46" s="87"/>
      <c r="F46" s="224" t="str">
        <f ca="1">IF(F42&gt;0,INDEX(INDIRECT(F41),5,6),"")</f>
        <v>Пик-Ник</v>
      </c>
      <c r="G46" s="67" t="str">
        <f t="shared" ca="1" si="22"/>
        <v>шт</v>
      </c>
      <c r="H46" s="67">
        <f t="shared" ca="1" si="23"/>
        <v>1</v>
      </c>
      <c r="I46" s="90">
        <f t="shared" ca="1" si="24"/>
        <v>12</v>
      </c>
      <c r="J46" s="87"/>
      <c r="K46" s="66" t="str">
        <f ca="1">IF(K42&gt;0,INDEX(INDIRECT(F41),5,11),"")</f>
        <v>Хлеб куски</v>
      </c>
      <c r="L46" s="67" t="str">
        <f t="shared" ca="1" si="25"/>
        <v>шт</v>
      </c>
      <c r="M46" s="204">
        <f t="shared" ca="1" si="26"/>
        <v>2</v>
      </c>
      <c r="N46" s="69">
        <f ca="1">M46*$B$2</f>
        <v>24</v>
      </c>
    </row>
    <row r="47" spans="1:14" x14ac:dyDescent="0.25">
      <c r="A47" s="66" t="str">
        <f ca="1">IF(A42&gt;0,INDEX(INDIRECT(F41),6,1),"")</f>
        <v>Паштет</v>
      </c>
      <c r="B47" s="67" t="str">
        <f t="shared" ca="1" si="19"/>
        <v>шт</v>
      </c>
      <c r="C47" s="67">
        <f t="shared" ca="1" si="20"/>
        <v>0.33333333333333331</v>
      </c>
      <c r="D47" s="69">
        <f t="shared" ca="1" si="21"/>
        <v>4</v>
      </c>
      <c r="E47" s="87"/>
      <c r="F47" s="224" t="str">
        <f ca="1">IF(F42&gt;0,INDEX(INDIRECT(F41),6,6),"")</f>
        <v>Хлеб куски</v>
      </c>
      <c r="G47" s="67" t="str">
        <f t="shared" ca="1" si="22"/>
        <v>шт</v>
      </c>
      <c r="H47" s="67">
        <f t="shared" ca="1" si="23"/>
        <v>2</v>
      </c>
      <c r="I47" s="90">
        <f t="shared" ca="1" si="24"/>
        <v>24</v>
      </c>
      <c r="J47" s="87"/>
      <c r="K47" s="66" t="str">
        <f ca="1">IF(K42&gt;0,INDEX(INDIRECT(F41),6,11),"")</f>
        <v>Лук</v>
      </c>
      <c r="L47" s="67" t="str">
        <f t="shared" ca="1" si="25"/>
        <v>шт</v>
      </c>
      <c r="M47" s="68">
        <f t="shared" ca="1" si="26"/>
        <v>0.25</v>
      </c>
      <c r="N47" s="69"/>
    </row>
    <row r="48" spans="1:14" ht="15.75" thickBot="1" x14ac:dyDescent="0.3">
      <c r="A48" s="70">
        <f ca="1">IF(A42&gt;0,INDEX(INDIRECT(F41),7,1),"")</f>
        <v>0</v>
      </c>
      <c r="B48" s="71">
        <f t="shared" ca="1" si="19"/>
        <v>0</v>
      </c>
      <c r="C48" s="71">
        <f t="shared" ca="1" si="20"/>
        <v>0</v>
      </c>
      <c r="D48" s="73">
        <f t="shared" ca="1" si="21"/>
        <v>0</v>
      </c>
      <c r="E48" s="94"/>
      <c r="F48" s="225" t="str">
        <f ca="1">IF(F42&gt;0,INDEX(INDIRECT(F41),7,6),"")</f>
        <v>Чеснок</v>
      </c>
      <c r="G48" s="71" t="str">
        <f t="shared" ca="1" si="22"/>
        <v>шт</v>
      </c>
      <c r="H48" s="71">
        <f t="shared" ca="1" si="23"/>
        <v>0.25</v>
      </c>
      <c r="I48" s="93">
        <f t="shared" ca="1" si="24"/>
        <v>3</v>
      </c>
      <c r="J48" s="94"/>
      <c r="K48" s="70">
        <f ca="1">IF(K42&gt;0,INDEX(INDIRECT(F41),7,11),"")</f>
        <v>0</v>
      </c>
      <c r="L48" s="71" t="str">
        <f t="shared" ca="1" si="25"/>
        <v/>
      </c>
      <c r="M48" s="72" t="str">
        <f t="shared" ca="1" si="26"/>
        <v/>
      </c>
      <c r="N48" s="73"/>
    </row>
    <row r="49" spans="1:14" s="5" customFormat="1" ht="15.75" thickBot="1" x14ac:dyDescent="0.3">
      <c r="F49" s="209"/>
      <c r="L49" s="5" t="str">
        <f t="shared" si="25"/>
        <v/>
      </c>
      <c r="M49" s="7" t="str">
        <f t="shared" si="26"/>
        <v/>
      </c>
      <c r="N49" s="6"/>
    </row>
    <row r="50" spans="1:14" s="5" customFormat="1" ht="19.5" thickBot="1" x14ac:dyDescent="0.35">
      <c r="A50" s="206" t="str">
        <f>IF(RIGHT(A41,2)+1&lt;=$G$2,"День "&amp;RIGHT(A41,2)+1,"")</f>
        <v>День 5</v>
      </c>
      <c r="B50" s="307">
        <f>B41+1</f>
        <v>42100</v>
      </c>
      <c r="C50" s="308"/>
      <c r="F50" s="210" t="str">
        <f>IF(RIGHT(A50,1)+0=0,"День5",IF(RIGHT(A50,1)+0&gt;5,"День"&amp;RIGHT(A50,1)-5,"День"&amp;RIGHT(A50,1)))</f>
        <v>День5</v>
      </c>
      <c r="L50" s="5" t="str">
        <f t="shared" si="25"/>
        <v/>
      </c>
      <c r="M50" s="7" t="str">
        <f t="shared" si="26"/>
        <v/>
      </c>
      <c r="N50" s="6"/>
    </row>
    <row r="51" spans="1:14" ht="15.75" thickBot="1" x14ac:dyDescent="0.3">
      <c r="A51" s="119" t="s">
        <v>0</v>
      </c>
      <c r="B51" s="120"/>
      <c r="C51" s="120"/>
      <c r="D51" s="123"/>
      <c r="E51" s="122"/>
      <c r="F51" s="226" t="s">
        <v>10</v>
      </c>
      <c r="G51" s="120"/>
      <c r="H51" s="120"/>
      <c r="I51" s="123"/>
      <c r="J51" s="122"/>
      <c r="K51" s="119" t="s">
        <v>28</v>
      </c>
      <c r="L51" s="120"/>
      <c r="M51" s="124"/>
      <c r="N51" s="121"/>
    </row>
    <row r="52" spans="1:14" ht="30" x14ac:dyDescent="0.25">
      <c r="A52" s="125" t="str">
        <f ca="1">IF(A51&gt;0,INDEX(INDIRECT(F50),2,1),"")</f>
        <v>Кукурузная каша</v>
      </c>
      <c r="B52" s="126" t="str">
        <f t="shared" ref="B52:B57" ca="1" si="27">IF($A52&gt;0,INDEX(Продукты,MATCH($A52,INDEX(Продукты,,1),0),2),0)</f>
        <v>гр</v>
      </c>
      <c r="C52" s="126">
        <f t="shared" ref="C52:C57" ca="1" si="28">IF($A52&gt;0,INDEX(Продукты,MATCH($A52,INDEX(Продукты,,1),0),3),0)</f>
        <v>60</v>
      </c>
      <c r="D52" s="132">
        <f t="shared" ref="D52:D57" ca="1" si="29">ROUND(C52*$B$2,0)</f>
        <v>720</v>
      </c>
      <c r="E52" s="128"/>
      <c r="F52" s="227" t="str">
        <f ca="1">IF(F51&gt;0,INDEX(INDIRECT(F50),2,6),"")</f>
        <v>Суп русский продукт
Куриный</v>
      </c>
      <c r="G52" s="126" t="str">
        <f t="shared" ref="G52:G57" ca="1" si="30">IF($F52&gt;0,INDEX(Продукты,MATCH($F52,INDEX(Продукты,,1),0),2),0)</f>
        <v>шт</v>
      </c>
      <c r="H52" s="126">
        <f t="shared" ref="H52:H57" ca="1" si="31">IF($F52&gt;0,INDEX(Продукты,MATCH($F52,INDEX(Продукты,,1),0),3),0)</f>
        <v>0.5</v>
      </c>
      <c r="I52" s="127">
        <f t="shared" ref="I52:I57" ca="1" si="32">H52*$B$2</f>
        <v>6</v>
      </c>
      <c r="J52" s="128"/>
      <c r="K52" s="125" t="str">
        <f ca="1">IF(K51&gt;0,INDEX(INDIRECT(F50),2,11),"")</f>
        <v>Перловка</v>
      </c>
      <c r="L52" s="126" t="str">
        <f t="shared" ref="L52:L57" ca="1" si="33">IF($K52&gt;0,INDEX(Продукты,MATCH($K52,INDEX(Продукты,,1),0),2),"")</f>
        <v>гр</v>
      </c>
      <c r="M52" s="131">
        <f t="shared" ref="M52:M57" ca="1" si="34">IF($K52&gt;0,INDEX(Продукты,MATCH($K52,INDEX(Продукты,,1),0),3),"")</f>
        <v>80</v>
      </c>
      <c r="N52" s="132">
        <f ca="1">M52*$B$2</f>
        <v>960</v>
      </c>
    </row>
    <row r="53" spans="1:14" x14ac:dyDescent="0.25">
      <c r="A53" s="133" t="str">
        <f ca="1">IF(A51&gt;0,INDEX(INDIRECT(F50),3,1),"")</f>
        <v>Сушеные ягоды</v>
      </c>
      <c r="B53" s="134" t="str">
        <f t="shared" ca="1" si="27"/>
        <v>гр</v>
      </c>
      <c r="C53" s="134">
        <f t="shared" ca="1" si="28"/>
        <v>5</v>
      </c>
      <c r="D53" s="139">
        <f t="shared" ca="1" si="29"/>
        <v>60</v>
      </c>
      <c r="E53" s="128"/>
      <c r="F53" s="228" t="str">
        <f ca="1">IF(F51&gt;0,INDEX(INDIRECT(F50),3,6),"")</f>
        <v>Смесь Cykoria овощная сухая</v>
      </c>
      <c r="G53" s="134" t="str">
        <f t="shared" ca="1" si="30"/>
        <v>шт</v>
      </c>
      <c r="H53" s="134">
        <f t="shared" ca="1" si="31"/>
        <v>8.3333333333333329E-2</v>
      </c>
      <c r="I53" s="135">
        <f t="shared" ca="1" si="32"/>
        <v>1</v>
      </c>
      <c r="J53" s="128"/>
      <c r="K53" s="133" t="str">
        <f ca="1">IF(K51&gt;0,INDEX(INDIRECT(F50),3,11),"")</f>
        <v>Смесь Cykoria овощная сухая</v>
      </c>
      <c r="L53" s="134" t="str">
        <f t="shared" ca="1" si="33"/>
        <v>шт</v>
      </c>
      <c r="M53" s="138">
        <f t="shared" ca="1" si="34"/>
        <v>8.3333333333333329E-2</v>
      </c>
      <c r="N53" s="139">
        <f ca="1">M53*$B$2</f>
        <v>1</v>
      </c>
    </row>
    <row r="54" spans="1:14" x14ac:dyDescent="0.25">
      <c r="A54" s="133" t="str">
        <f ca="1">IF(A51&gt;0,INDEX(INDIRECT(F50),4,1),"")</f>
        <v>Сгущенка</v>
      </c>
      <c r="B54" s="134" t="str">
        <f t="shared" ca="1" si="27"/>
        <v>гр</v>
      </c>
      <c r="C54" s="134">
        <f t="shared" ca="1" si="28"/>
        <v>50</v>
      </c>
      <c r="D54" s="139">
        <f t="shared" ca="1" si="29"/>
        <v>600</v>
      </c>
      <c r="E54" s="128"/>
      <c r="F54" s="228" t="str">
        <f ca="1">IF(F51&gt;0,INDEX(INDIRECT(F50),4,6),"")</f>
        <v>Сырокопченая колбаса</v>
      </c>
      <c r="G54" s="134" t="str">
        <f t="shared" ca="1" si="30"/>
        <v>гр</v>
      </c>
      <c r="H54" s="134">
        <f t="shared" ca="1" si="31"/>
        <v>50</v>
      </c>
      <c r="I54" s="135">
        <f t="shared" ca="1" si="32"/>
        <v>600</v>
      </c>
      <c r="J54" s="128"/>
      <c r="K54" s="133" t="str">
        <f ca="1">IF(K51&gt;0,INDEX(INDIRECT(F50),4,11),"")</f>
        <v>Тушенка</v>
      </c>
      <c r="L54" s="134" t="str">
        <f t="shared" ca="1" si="33"/>
        <v>шт</v>
      </c>
      <c r="M54" s="177">
        <f t="shared" ca="1" si="34"/>
        <v>0.2</v>
      </c>
      <c r="N54" s="139">
        <f ca="1">M54*$B$2</f>
        <v>2.4000000000000004</v>
      </c>
    </row>
    <row r="55" spans="1:14" x14ac:dyDescent="0.25">
      <c r="A55" s="133" t="str">
        <f ca="1">IF(A51&gt;0,INDEX(INDIRECT(F50),5,1),"")</f>
        <v>Хлеб куски</v>
      </c>
      <c r="B55" s="134" t="str">
        <f t="shared" ca="1" si="27"/>
        <v>шт</v>
      </c>
      <c r="C55" s="134">
        <f t="shared" ca="1" si="28"/>
        <v>2</v>
      </c>
      <c r="D55" s="139">
        <f t="shared" ca="1" si="29"/>
        <v>24</v>
      </c>
      <c r="E55" s="128"/>
      <c r="F55" s="228" t="str">
        <f ca="1">IF(F51&gt;0,INDEX(INDIRECT(F50),5,6),"")</f>
        <v>Кит-Кат</v>
      </c>
      <c r="G55" s="134" t="str">
        <f t="shared" ca="1" si="30"/>
        <v>шт</v>
      </c>
      <c r="H55" s="134">
        <f t="shared" ca="1" si="31"/>
        <v>1</v>
      </c>
      <c r="I55" s="135">
        <f t="shared" ca="1" si="32"/>
        <v>12</v>
      </c>
      <c r="J55" s="128"/>
      <c r="K55" s="133" t="str">
        <f ca="1">IF(K51&gt;0,INDEX(INDIRECT(F50),5,11),"")</f>
        <v>Овсяное печенье</v>
      </c>
      <c r="L55" s="134" t="str">
        <f t="shared" ca="1" si="33"/>
        <v>шт</v>
      </c>
      <c r="M55" s="205">
        <f t="shared" ca="1" si="34"/>
        <v>2</v>
      </c>
      <c r="N55" s="139">
        <f ca="1">M55*$B$2</f>
        <v>24</v>
      </c>
    </row>
    <row r="56" spans="1:14" x14ac:dyDescent="0.25">
      <c r="A56" s="133" t="str">
        <f ca="1">IF(A51&gt;0,INDEX(INDIRECT(F50),6,1),"")</f>
        <v>Сыр</v>
      </c>
      <c r="B56" s="134" t="str">
        <f t="shared" ca="1" si="27"/>
        <v>гр</v>
      </c>
      <c r="C56" s="134">
        <f t="shared" ca="1" si="28"/>
        <v>50</v>
      </c>
      <c r="D56" s="139">
        <f t="shared" ca="1" si="29"/>
        <v>600</v>
      </c>
      <c r="E56" s="128"/>
      <c r="F56" s="228" t="str">
        <f ca="1">IF(F51&gt;0,INDEX(INDIRECT(F50),6,6),"")</f>
        <v>Хлеб куски</v>
      </c>
      <c r="G56" s="134" t="str">
        <f t="shared" ca="1" si="30"/>
        <v>шт</v>
      </c>
      <c r="H56" s="134">
        <f t="shared" ca="1" si="31"/>
        <v>2</v>
      </c>
      <c r="I56" s="135">
        <f t="shared" ca="1" si="32"/>
        <v>24</v>
      </c>
      <c r="J56" s="128"/>
      <c r="K56" s="133" t="str">
        <f ca="1">IF(K51&gt;0,INDEX(INDIRECT(F50),6,11),"")</f>
        <v>Хлеб куски</v>
      </c>
      <c r="L56" s="134" t="str">
        <f t="shared" ca="1" si="33"/>
        <v>шт</v>
      </c>
      <c r="M56" s="138">
        <f t="shared" ca="1" si="34"/>
        <v>2</v>
      </c>
      <c r="N56" s="139"/>
    </row>
    <row r="57" spans="1:14" ht="15.75" thickBot="1" x14ac:dyDescent="0.3">
      <c r="A57" s="145">
        <f ca="1">IF(A51&gt;0,INDEX(INDIRECT(F50),7,1),"")</f>
        <v>0</v>
      </c>
      <c r="B57" s="146">
        <f t="shared" ca="1" si="27"/>
        <v>0</v>
      </c>
      <c r="C57" s="146">
        <f t="shared" ca="1" si="28"/>
        <v>0</v>
      </c>
      <c r="D57" s="151">
        <f t="shared" ca="1" si="29"/>
        <v>0</v>
      </c>
      <c r="E57" s="148"/>
      <c r="F57" s="229" t="str">
        <f ca="1">IF(F51&gt;0,INDEX(INDIRECT(F50),7,6),"")</f>
        <v>Чеснок</v>
      </c>
      <c r="G57" s="146" t="str">
        <f t="shared" ca="1" si="30"/>
        <v>шт</v>
      </c>
      <c r="H57" s="146">
        <f t="shared" ca="1" si="31"/>
        <v>0.25</v>
      </c>
      <c r="I57" s="147">
        <f t="shared" ca="1" si="32"/>
        <v>3</v>
      </c>
      <c r="J57" s="148"/>
      <c r="K57" s="145">
        <f ca="1">IF(K51&gt;0,INDEX(INDIRECT(F50),7,11),"")</f>
        <v>0</v>
      </c>
      <c r="L57" s="146" t="str">
        <f t="shared" ca="1" si="33"/>
        <v/>
      </c>
      <c r="M57" s="150" t="str">
        <f t="shared" ca="1" si="34"/>
        <v/>
      </c>
      <c r="N57" s="151"/>
    </row>
    <row r="58" spans="1:14" s="5" customFormat="1" ht="15.75" thickBot="1" x14ac:dyDescent="0.3">
      <c r="A58"/>
      <c r="B58"/>
      <c r="C58"/>
      <c r="D58"/>
      <c r="F58" s="208"/>
      <c r="G58"/>
      <c r="H58"/>
      <c r="I58"/>
      <c r="K58"/>
      <c r="L58"/>
      <c r="M58" s="1"/>
      <c r="N58" s="2"/>
    </row>
    <row r="59" spans="1:14" s="5" customFormat="1" ht="19.5" thickBot="1" x14ac:dyDescent="0.35">
      <c r="A59" s="206" t="str">
        <f>IF(RIGHT(A50,2)+1&lt;=$G$2,"День "&amp;RIGHT(A50,2)+1,"")</f>
        <v>День 6</v>
      </c>
      <c r="B59" s="307">
        <f>B50+1</f>
        <v>42101</v>
      </c>
      <c r="C59" s="308"/>
      <c r="D59" s="2"/>
      <c r="F59" s="210" t="str">
        <f>IF(RIGHT(A59,1)+0=0,"День5",IF(RIGHT(A59,1)+0&gt;5,"День"&amp;RIGHT(A59,1)-5,"День"&amp;RIGHT(A59,1)))</f>
        <v>День1</v>
      </c>
      <c r="G59"/>
      <c r="H59"/>
      <c r="I59"/>
      <c r="K59"/>
      <c r="L59"/>
      <c r="M59" s="1"/>
      <c r="N59" s="2"/>
    </row>
    <row r="60" spans="1:14" ht="15.75" thickBot="1" x14ac:dyDescent="0.3">
      <c r="A60" s="42" t="s">
        <v>0</v>
      </c>
      <c r="B60" s="43"/>
      <c r="C60" s="43"/>
      <c r="D60" s="75"/>
      <c r="E60" s="74"/>
      <c r="F60" s="215" t="s">
        <v>10</v>
      </c>
      <c r="G60" s="43"/>
      <c r="H60" s="43"/>
      <c r="I60" s="75"/>
      <c r="J60" s="74"/>
      <c r="K60" s="42" t="s">
        <v>28</v>
      </c>
      <c r="L60" s="43"/>
      <c r="M60" s="44"/>
      <c r="N60" s="45"/>
    </row>
    <row r="61" spans="1:14" ht="30" x14ac:dyDescent="0.25">
      <c r="A61" s="46" t="str">
        <f ca="1">IF(A60&gt;0,INDEX(INDIRECT(F59),2,1),"")</f>
        <v>Овсянка</v>
      </c>
      <c r="B61" s="47" t="str">
        <f t="shared" ref="B61:B66" ca="1" si="35">IF($A61&gt;0,INDEX(Продукты,MATCH($A61,INDEX(Продукты,,1),0),2),0)</f>
        <v>гр</v>
      </c>
      <c r="C61" s="47">
        <f t="shared" ref="C61:C66" ca="1" si="36">IF($A61&gt;0,INDEX(Продукты,MATCH($A61,INDEX(Продукты,,1),0),3),0)</f>
        <v>60</v>
      </c>
      <c r="D61" s="49">
        <f t="shared" ref="D61:D66" ca="1" si="37">ROUND(C61*$B$2,0)</f>
        <v>720</v>
      </c>
      <c r="E61" s="76"/>
      <c r="F61" s="207" t="str">
        <f ca="1">IF(F60&gt;0,INDEX(INDIRECT(F59),2,6),"")</f>
        <v>Суп русский продукт
Куриная лапша</v>
      </c>
      <c r="G61" s="47" t="str">
        <f t="shared" ref="G61:G66" ca="1" si="38">IF($F61&gt;0,INDEX(Продукты,MATCH($F61,INDEX(Продукты,,1),0),2),0)</f>
        <v>шт</v>
      </c>
      <c r="H61" s="47">
        <f t="shared" ref="H61:H66" ca="1" si="39">IF($F61&gt;0,INDEX(Продукты,MATCH($F61,INDEX(Продукты,,1),0),3),0)</f>
        <v>0.5</v>
      </c>
      <c r="I61" s="78">
        <f t="shared" ref="I61:I66" ca="1" si="40">H61*$B$2</f>
        <v>6</v>
      </c>
      <c r="J61" s="76"/>
      <c r="K61" s="46" t="str">
        <f ca="1">IF(K60&gt;0,INDEX(INDIRECT(F59),2,11),"")</f>
        <v>Макароны</v>
      </c>
      <c r="L61" s="47" t="str">
        <f t="shared" ref="L61:L66" ca="1" si="41">IF($K61&gt;0,INDEX(Продукты,MATCH($K61,INDEX(Продукты,,1),0),2),"")</f>
        <v>гр</v>
      </c>
      <c r="M61" s="48">
        <f t="shared" ref="M61:M66" ca="1" si="42">IF($K61&gt;0,INDEX(Продукты,MATCH($K61,INDEX(Продукты,,1),0),3),"")</f>
        <v>100</v>
      </c>
      <c r="N61" s="49">
        <f ca="1">M61*$B$2</f>
        <v>1200</v>
      </c>
    </row>
    <row r="62" spans="1:14" x14ac:dyDescent="0.25">
      <c r="A62" s="50" t="str">
        <f ca="1">IF(A60&gt;0,INDEX(INDIRECT(F59),3,1),"")</f>
        <v>Сушеные ягоды</v>
      </c>
      <c r="B62" s="51" t="str">
        <f t="shared" ca="1" si="35"/>
        <v>гр</v>
      </c>
      <c r="C62" s="51">
        <f t="shared" ca="1" si="36"/>
        <v>5</v>
      </c>
      <c r="D62" s="53">
        <f t="shared" ca="1" si="37"/>
        <v>60</v>
      </c>
      <c r="E62" s="76"/>
      <c r="F62" s="216" t="str">
        <f ca="1">IF(F60&gt;0,INDEX(INDIRECT(F59),3,6),"")</f>
        <v>Вермишель</v>
      </c>
      <c r="G62" s="51" t="str">
        <f t="shared" ca="1" si="38"/>
        <v>гр</v>
      </c>
      <c r="H62" s="51">
        <f t="shared" ca="1" si="39"/>
        <v>40</v>
      </c>
      <c r="I62" s="80">
        <f t="shared" ca="1" si="40"/>
        <v>480</v>
      </c>
      <c r="J62" s="76"/>
      <c r="K62" s="50" t="str">
        <f ca="1">IF(K60&gt;0,INDEX(INDIRECT(F59),3,11),"")</f>
        <v>Тушенка</v>
      </c>
      <c r="L62" s="51" t="str">
        <f t="shared" ca="1" si="41"/>
        <v>шт</v>
      </c>
      <c r="M62" s="52">
        <f t="shared" ca="1" si="42"/>
        <v>0.2</v>
      </c>
      <c r="N62" s="53">
        <f ca="1">M62*$B$2</f>
        <v>2.4000000000000004</v>
      </c>
    </row>
    <row r="63" spans="1:14" x14ac:dyDescent="0.25">
      <c r="A63" s="50" t="str">
        <f ca="1">IF(A60&gt;0,INDEX(INDIRECT(F59),4,1),"")</f>
        <v>Сгущенка</v>
      </c>
      <c r="B63" s="51" t="str">
        <f t="shared" ca="1" si="35"/>
        <v>гр</v>
      </c>
      <c r="C63" s="51">
        <f t="shared" ca="1" si="36"/>
        <v>50</v>
      </c>
      <c r="D63" s="53">
        <f t="shared" ca="1" si="37"/>
        <v>600</v>
      </c>
      <c r="E63" s="76"/>
      <c r="F63" s="216" t="str">
        <f ca="1">IF(F60&gt;0,INDEX(INDIRECT(F59),4,6),"")</f>
        <v>Сырокопченая колбаса</v>
      </c>
      <c r="G63" s="51" t="str">
        <f t="shared" ca="1" si="38"/>
        <v>гр</v>
      </c>
      <c r="H63" s="51">
        <f t="shared" ca="1" si="39"/>
        <v>50</v>
      </c>
      <c r="I63" s="80">
        <f t="shared" ca="1" si="40"/>
        <v>600</v>
      </c>
      <c r="J63" s="76"/>
      <c r="K63" s="50" t="str">
        <f ca="1">IF(K60&gt;0,INDEX(INDIRECT(F59),4,11),"")</f>
        <v>Пастила</v>
      </c>
      <c r="L63" s="51" t="str">
        <f t="shared" ca="1" si="41"/>
        <v>шт</v>
      </c>
      <c r="M63" s="173">
        <f t="shared" ca="1" si="42"/>
        <v>2</v>
      </c>
      <c r="N63" s="53">
        <f ca="1">M63*$B$2</f>
        <v>24</v>
      </c>
    </row>
    <row r="64" spans="1:14" x14ac:dyDescent="0.25">
      <c r="A64" s="50" t="str">
        <f ca="1">IF(A60&gt;0,INDEX(INDIRECT(F59),5,1),"")</f>
        <v>Хлеб куски</v>
      </c>
      <c r="B64" s="51" t="str">
        <f t="shared" ca="1" si="35"/>
        <v>шт</v>
      </c>
      <c r="C64" s="51">
        <f t="shared" ca="1" si="36"/>
        <v>2</v>
      </c>
      <c r="D64" s="53">
        <f t="shared" ca="1" si="37"/>
        <v>24</v>
      </c>
      <c r="E64" s="76"/>
      <c r="F64" s="216" t="str">
        <f ca="1">IF(F60&gt;0,INDEX(INDIRECT(F59),5,6),"")</f>
        <v>Сникерс</v>
      </c>
      <c r="G64" s="51" t="str">
        <f t="shared" ca="1" si="38"/>
        <v>шт</v>
      </c>
      <c r="H64" s="51">
        <f t="shared" ca="1" si="39"/>
        <v>1</v>
      </c>
      <c r="I64" s="80">
        <f t="shared" ca="1" si="40"/>
        <v>12</v>
      </c>
      <c r="J64" s="76"/>
      <c r="K64" s="50" t="str">
        <f ca="1">IF(K60&gt;0,INDEX(INDIRECT(F59),5,11),"")</f>
        <v>Хлеб куски</v>
      </c>
      <c r="L64" s="51" t="str">
        <f t="shared" ca="1" si="41"/>
        <v>шт</v>
      </c>
      <c r="M64" s="179">
        <f t="shared" ca="1" si="42"/>
        <v>2</v>
      </c>
      <c r="N64" s="53">
        <f ca="1">M64*$B$2</f>
        <v>24</v>
      </c>
    </row>
    <row r="65" spans="1:14" x14ac:dyDescent="0.25">
      <c r="A65" s="50" t="str">
        <f ca="1">IF(A60&gt;0,INDEX(INDIRECT(F59),6,1),"")</f>
        <v>Сыр плавленый</v>
      </c>
      <c r="B65" s="51" t="str">
        <f t="shared" ca="1" si="35"/>
        <v>гр</v>
      </c>
      <c r="C65" s="51">
        <f t="shared" ca="1" si="36"/>
        <v>35</v>
      </c>
      <c r="D65" s="53">
        <f t="shared" ca="1" si="37"/>
        <v>420</v>
      </c>
      <c r="E65" s="76"/>
      <c r="F65" s="216" t="str">
        <f ca="1">IF(F60&gt;0,INDEX(INDIRECT(F59),6,6),"")</f>
        <v>Хлеб куски</v>
      </c>
      <c r="G65" s="51" t="str">
        <f t="shared" ca="1" si="38"/>
        <v>шт</v>
      </c>
      <c r="H65" s="51">
        <f t="shared" ca="1" si="39"/>
        <v>2</v>
      </c>
      <c r="I65" s="80">
        <f t="shared" ca="1" si="40"/>
        <v>24</v>
      </c>
      <c r="J65" s="76"/>
      <c r="K65" s="50">
        <f ca="1">IF(K60&gt;0,INDEX(INDIRECT(F59),6,11),"")</f>
        <v>0</v>
      </c>
      <c r="L65" s="51" t="str">
        <f t="shared" ca="1" si="41"/>
        <v/>
      </c>
      <c r="M65" s="52" t="str">
        <f t="shared" ca="1" si="42"/>
        <v/>
      </c>
      <c r="N65" s="53"/>
    </row>
    <row r="66" spans="1:14" ht="15.75" thickBot="1" x14ac:dyDescent="0.3">
      <c r="A66" s="54">
        <f ca="1">IF(A60&gt;0,INDEX(INDIRECT(F59),7,1),"")</f>
        <v>0</v>
      </c>
      <c r="B66" s="55">
        <f t="shared" ca="1" si="35"/>
        <v>0</v>
      </c>
      <c r="C66" s="55">
        <f t="shared" ca="1" si="36"/>
        <v>0</v>
      </c>
      <c r="D66" s="57">
        <f t="shared" ca="1" si="37"/>
        <v>0</v>
      </c>
      <c r="E66" s="81"/>
      <c r="F66" s="217" t="str">
        <f ca="1">IF(F60&gt;0,INDEX(INDIRECT(F59),7,6),"")</f>
        <v>Чеснок</v>
      </c>
      <c r="G66" s="55" t="str">
        <f t="shared" ca="1" si="38"/>
        <v>шт</v>
      </c>
      <c r="H66" s="55">
        <f t="shared" ca="1" si="39"/>
        <v>0.25</v>
      </c>
      <c r="I66" s="83">
        <f t="shared" ca="1" si="40"/>
        <v>3</v>
      </c>
      <c r="J66" s="81"/>
      <c r="K66" s="54">
        <f ca="1">IF(K60&gt;0,INDEX(INDIRECT(F59),7,11),"")</f>
        <v>0</v>
      </c>
      <c r="L66" s="55" t="str">
        <f t="shared" ca="1" si="41"/>
        <v/>
      </c>
      <c r="M66" s="56" t="str">
        <f t="shared" ca="1" si="42"/>
        <v/>
      </c>
      <c r="N66" s="57"/>
    </row>
    <row r="67" spans="1:14" ht="15.75" thickBot="1" x14ac:dyDescent="0.3">
      <c r="A67" s="5"/>
      <c r="B67" s="5"/>
      <c r="C67" s="5"/>
      <c r="D67" s="6"/>
      <c r="F67" s="209"/>
      <c r="G67" s="5"/>
      <c r="H67" s="5"/>
      <c r="I67" s="6"/>
      <c r="K67" s="5"/>
      <c r="L67" s="5"/>
      <c r="M67" s="7"/>
      <c r="N67" s="6"/>
    </row>
    <row r="68" spans="1:14" ht="19.5" thickBot="1" x14ac:dyDescent="0.35">
      <c r="A68" s="206" t="str">
        <f>IF(RIGHT(A59,2)+1&lt;=$G$2,"День "&amp;RIGHT(A59,2)+1,"")</f>
        <v>День 7</v>
      </c>
      <c r="B68" s="307">
        <f>B59+1</f>
        <v>42102</v>
      </c>
      <c r="C68" s="308"/>
      <c r="D68" s="6"/>
      <c r="F68" s="210" t="str">
        <f>IF(RIGHT(A68,1)+0=0,"День5",IF(RIGHT(A68,1)+0&gt;5,"День"&amp;RIGHT(A68,1)-5,"День"&amp;RIGHT(A68,1)))</f>
        <v>День2</v>
      </c>
      <c r="G68" s="5"/>
      <c r="H68" s="5"/>
      <c r="I68" s="6"/>
      <c r="K68" s="5"/>
      <c r="L68" s="5"/>
      <c r="M68" s="7"/>
      <c r="N68" s="6"/>
    </row>
    <row r="69" spans="1:14" ht="15.75" thickBot="1" x14ac:dyDescent="0.3">
      <c r="A69" s="10" t="s">
        <v>0</v>
      </c>
      <c r="B69" s="11"/>
      <c r="C69" s="11"/>
      <c r="D69" s="97"/>
      <c r="E69" s="96"/>
      <c r="F69" s="211" t="s">
        <v>10</v>
      </c>
      <c r="G69" s="11"/>
      <c r="H69" s="11"/>
      <c r="I69" s="97"/>
      <c r="J69" s="96"/>
      <c r="K69" s="10" t="s">
        <v>28</v>
      </c>
      <c r="L69" s="11"/>
      <c r="M69" s="12"/>
      <c r="N69" s="13"/>
    </row>
    <row r="70" spans="1:14" ht="30" x14ac:dyDescent="0.25">
      <c r="A70" s="14" t="str">
        <f ca="1">IF(A69&gt;0,INDEX(INDIRECT(F68),2,1),"")</f>
        <v>Гречка завтрак</v>
      </c>
      <c r="B70" s="15" t="str">
        <f t="shared" ref="B70:B75" ca="1" si="43">IF($A70&gt;0,INDEX(Продукты,MATCH($A70,INDEX(Продукты,,1),0),2),0)</f>
        <v>гр</v>
      </c>
      <c r="C70" s="15">
        <f t="shared" ref="C70:C75" ca="1" si="44">IF($A70&gt;0,INDEX(Продукты,MATCH($A70,INDEX(Продукты,,1),0),3),0)</f>
        <v>65</v>
      </c>
      <c r="D70" s="17">
        <f t="shared" ref="D70:D75" ca="1" si="45">ROUND(C70*$B$2,0)</f>
        <v>780</v>
      </c>
      <c r="E70" s="99"/>
      <c r="F70" s="212" t="str">
        <f ca="1">IF(F69&gt;0,INDEX(INDIRECT(F68),2,6),"")</f>
        <v>Суп русский продукт
Борщ</v>
      </c>
      <c r="G70" s="15" t="str">
        <f t="shared" ref="G70:G75" ca="1" si="46">IF($F70&gt;0,INDEX(Продукты,MATCH($F70,INDEX(Продукты,,1),0),2),0)</f>
        <v>шт</v>
      </c>
      <c r="H70" s="15">
        <f t="shared" ref="H70:H75" ca="1" si="47">IF($F70&gt;0,INDEX(Продукты,MATCH($F70,INDEX(Продукты,,1),0),3),0)</f>
        <v>0.5</v>
      </c>
      <c r="I70" s="98">
        <f t="shared" ref="I70:I75" ca="1" si="48">H70*$B$2</f>
        <v>6</v>
      </c>
      <c r="J70" s="99"/>
      <c r="K70" s="14" t="str">
        <f ca="1">IF(K69&gt;0,INDEX(INDIRECT(F68),2,11),"")</f>
        <v>Кар.пюр.</v>
      </c>
      <c r="L70" s="15" t="str">
        <f t="shared" ref="L70:L75" ca="1" si="49">IF($K70&gt;0,INDEX(Продукты,MATCH($K70,INDEX(Продукты,,1),0),2),"")</f>
        <v>гр</v>
      </c>
      <c r="M70" s="16">
        <f t="shared" ref="M70:M75" ca="1" si="50">IF($K70&gt;0,INDEX(Продукты,MATCH($K70,INDEX(Продукты,,1),0),3),"")</f>
        <v>50</v>
      </c>
      <c r="N70" s="17">
        <f ca="1">M70*$B$2</f>
        <v>600</v>
      </c>
    </row>
    <row r="71" spans="1:14" x14ac:dyDescent="0.25">
      <c r="A71" s="18" t="str">
        <f ca="1">IF(A69&gt;0,INDEX(INDIRECT(F68),3,1),"")</f>
        <v>Сухофрукты</v>
      </c>
      <c r="B71" s="19" t="str">
        <f t="shared" ca="1" si="43"/>
        <v>гр</v>
      </c>
      <c r="C71" s="19">
        <f t="shared" ca="1" si="44"/>
        <v>20</v>
      </c>
      <c r="D71" s="21">
        <f t="shared" ca="1" si="45"/>
        <v>240</v>
      </c>
      <c r="E71" s="99"/>
      <c r="F71" s="213" t="str">
        <f ca="1">IF(F69&gt;0,INDEX(INDIRECT(F68),3,6),"")</f>
        <v>Смесь Cykoria овощная сухая</v>
      </c>
      <c r="G71" s="19" t="str">
        <f t="shared" ca="1" si="46"/>
        <v>шт</v>
      </c>
      <c r="H71" s="19">
        <f t="shared" ca="1" si="47"/>
        <v>8.3333333333333329E-2</v>
      </c>
      <c r="I71" s="102">
        <f t="shared" ca="1" si="48"/>
        <v>1</v>
      </c>
      <c r="J71" s="99"/>
      <c r="K71" s="18" t="str">
        <f ca="1">IF(K69&gt;0,INDEX(INDIRECT(F68),3,11),"")</f>
        <v>Тушенка</v>
      </c>
      <c r="L71" s="19" t="str">
        <f t="shared" ca="1" si="49"/>
        <v>шт</v>
      </c>
      <c r="M71" s="20">
        <f t="shared" ca="1" si="50"/>
        <v>0.2</v>
      </c>
      <c r="N71" s="21">
        <f ca="1">M71*$B$2</f>
        <v>2.4000000000000004</v>
      </c>
    </row>
    <row r="72" spans="1:14" x14ac:dyDescent="0.25">
      <c r="A72" s="18" t="str">
        <f ca="1">IF(A69&gt;0,INDEX(INDIRECT(F68),4,1),"")</f>
        <v>Сгущенка</v>
      </c>
      <c r="B72" s="19" t="str">
        <f t="shared" ca="1" si="43"/>
        <v>гр</v>
      </c>
      <c r="C72" s="19">
        <f t="shared" ca="1" si="44"/>
        <v>50</v>
      </c>
      <c r="D72" s="21">
        <f t="shared" ca="1" si="45"/>
        <v>600</v>
      </c>
      <c r="E72" s="99"/>
      <c r="F72" s="213" t="str">
        <f ca="1">IF(F69&gt;0,INDEX(INDIRECT(F68),4,6),"")</f>
        <v>Сыр</v>
      </c>
      <c r="G72" s="19" t="str">
        <f t="shared" ca="1" si="46"/>
        <v>гр</v>
      </c>
      <c r="H72" s="19">
        <f t="shared" ca="1" si="47"/>
        <v>50</v>
      </c>
      <c r="I72" s="102">
        <f t="shared" ca="1" si="48"/>
        <v>600</v>
      </c>
      <c r="J72" s="99"/>
      <c r="K72" s="18" t="str">
        <f ca="1">IF(K69&gt;0,INDEX(INDIRECT(F68),4,11),"")</f>
        <v>Печенье пачка</v>
      </c>
      <c r="L72" s="19" t="str">
        <f t="shared" ca="1" si="49"/>
        <v>шт</v>
      </c>
      <c r="M72" s="174">
        <f t="shared" ca="1" si="50"/>
        <v>0.5</v>
      </c>
      <c r="N72" s="21">
        <f ca="1">M72*$B$2</f>
        <v>6</v>
      </c>
    </row>
    <row r="73" spans="1:14" x14ac:dyDescent="0.25">
      <c r="A73" s="18" t="str">
        <f ca="1">IF(A69&gt;0,INDEX(INDIRECT(F68),5,1),"")</f>
        <v>Хлеб куски</v>
      </c>
      <c r="B73" s="19" t="str">
        <f t="shared" ca="1" si="43"/>
        <v>шт</v>
      </c>
      <c r="C73" s="19">
        <f t="shared" ca="1" si="44"/>
        <v>2</v>
      </c>
      <c r="D73" s="21">
        <f t="shared" ca="1" si="45"/>
        <v>24</v>
      </c>
      <c r="E73" s="99"/>
      <c r="F73" s="213" t="str">
        <f ca="1">IF(F69&gt;0,INDEX(INDIRECT(F68),5,6),"")</f>
        <v>Марс</v>
      </c>
      <c r="G73" s="19" t="str">
        <f t="shared" ca="1" si="46"/>
        <v>шт</v>
      </c>
      <c r="H73" s="19">
        <f t="shared" ca="1" si="47"/>
        <v>1</v>
      </c>
      <c r="I73" s="102">
        <f t="shared" ca="1" si="48"/>
        <v>12</v>
      </c>
      <c r="J73" s="99"/>
      <c r="K73" s="18" t="str">
        <f ca="1">IF(K69&gt;0,INDEX(INDIRECT(F68),5,11),"")</f>
        <v>Хлеб куски</v>
      </c>
      <c r="L73" s="19" t="str">
        <f t="shared" ca="1" si="49"/>
        <v>шт</v>
      </c>
      <c r="M73" s="202">
        <f t="shared" ca="1" si="50"/>
        <v>2</v>
      </c>
      <c r="N73" s="21">
        <f ca="1">M73*$B$2</f>
        <v>24</v>
      </c>
    </row>
    <row r="74" spans="1:14" x14ac:dyDescent="0.25">
      <c r="A74" s="18" t="str">
        <f ca="1">IF(A69&gt;0,INDEX(INDIRECT(F68),6,1),"")</f>
        <v>Паштет</v>
      </c>
      <c r="B74" s="19" t="str">
        <f t="shared" ca="1" si="43"/>
        <v>шт</v>
      </c>
      <c r="C74" s="19">
        <f t="shared" ca="1" si="44"/>
        <v>0.33333333333333331</v>
      </c>
      <c r="D74" s="21">
        <f t="shared" ca="1" si="45"/>
        <v>4</v>
      </c>
      <c r="E74" s="99"/>
      <c r="F74" s="213" t="str">
        <f ca="1">IF(F69&gt;0,INDEX(INDIRECT(F68),6,6),"")</f>
        <v>Хлеб куски</v>
      </c>
      <c r="G74" s="19" t="str">
        <f t="shared" ca="1" si="46"/>
        <v>шт</v>
      </c>
      <c r="H74" s="19">
        <f t="shared" ca="1" si="47"/>
        <v>2</v>
      </c>
      <c r="I74" s="102">
        <f t="shared" ca="1" si="48"/>
        <v>24</v>
      </c>
      <c r="J74" s="99"/>
      <c r="K74" s="18" t="str">
        <f ca="1">IF(K69&gt;0,INDEX(INDIRECT(F68),6,11),"")</f>
        <v>Лук</v>
      </c>
      <c r="L74" s="19" t="str">
        <f t="shared" ca="1" si="49"/>
        <v>шт</v>
      </c>
      <c r="M74" s="20">
        <f t="shared" ca="1" si="50"/>
        <v>0.25</v>
      </c>
      <c r="N74" s="21"/>
    </row>
    <row r="75" spans="1:14" ht="15.75" thickBot="1" x14ac:dyDescent="0.3">
      <c r="A75" s="22">
        <f ca="1">IF(A69&gt;0,INDEX(INDIRECT(F68),7,1),"")</f>
        <v>0</v>
      </c>
      <c r="B75" s="23">
        <f t="shared" ca="1" si="43"/>
        <v>0</v>
      </c>
      <c r="C75" s="23">
        <f t="shared" ca="1" si="44"/>
        <v>0</v>
      </c>
      <c r="D75" s="25">
        <f t="shared" ca="1" si="45"/>
        <v>0</v>
      </c>
      <c r="E75" s="106"/>
      <c r="F75" s="214" t="str">
        <f ca="1">IF(F69&gt;0,INDEX(INDIRECT(F68),7,6),"")</f>
        <v>Чеснок</v>
      </c>
      <c r="G75" s="23" t="str">
        <f t="shared" ca="1" si="46"/>
        <v>шт</v>
      </c>
      <c r="H75" s="23">
        <f t="shared" ca="1" si="47"/>
        <v>0.25</v>
      </c>
      <c r="I75" s="105">
        <f t="shared" ca="1" si="48"/>
        <v>3</v>
      </c>
      <c r="J75" s="106"/>
      <c r="K75" s="22">
        <f ca="1">IF(K69&gt;0,INDEX(INDIRECT(F68),7,11),"")</f>
        <v>0</v>
      </c>
      <c r="L75" s="23" t="str">
        <f t="shared" ca="1" si="49"/>
        <v/>
      </c>
      <c r="M75" s="24" t="str">
        <f t="shared" ca="1" si="50"/>
        <v/>
      </c>
      <c r="N75" s="25"/>
    </row>
    <row r="76" spans="1:14" ht="15.75" thickBot="1" x14ac:dyDescent="0.3">
      <c r="A76" s="5"/>
      <c r="B76" s="5"/>
      <c r="C76" s="5"/>
      <c r="D76" s="6"/>
      <c r="F76" s="209"/>
      <c r="G76" s="5"/>
      <c r="H76" s="5"/>
      <c r="I76" s="6"/>
      <c r="K76" s="5"/>
      <c r="L76" s="5"/>
      <c r="M76" s="7"/>
      <c r="N76" s="6"/>
    </row>
    <row r="77" spans="1:14" ht="19.5" thickBot="1" x14ac:dyDescent="0.35">
      <c r="A77" s="206" t="str">
        <f>IF(RIGHT(A68,2)+1&lt;=$G$2,"День "&amp;RIGHT(A68,2)+1,"")</f>
        <v>День 8</v>
      </c>
      <c r="B77" s="307">
        <f>B68+1</f>
        <v>42103</v>
      </c>
      <c r="C77" s="308"/>
      <c r="D77" s="6"/>
      <c r="F77" s="210" t="str">
        <f>IF(RIGHT(A77,1)+0=0,"День5",IF(RIGHT(A77,1)+0&gt;5,"День"&amp;RIGHT(A77,1)-5,"День"&amp;RIGHT(A77,1)))</f>
        <v>День3</v>
      </c>
      <c r="G77" s="5"/>
      <c r="H77" s="5"/>
      <c r="I77" s="6"/>
      <c r="K77" s="5"/>
      <c r="L77" s="5"/>
      <c r="M77" s="7"/>
      <c r="N77" s="6"/>
    </row>
    <row r="78" spans="1:14" ht="15.75" thickBot="1" x14ac:dyDescent="0.3">
      <c r="A78" s="26" t="s">
        <v>0</v>
      </c>
      <c r="B78" s="27"/>
      <c r="C78" s="27"/>
      <c r="D78" s="109"/>
      <c r="E78" s="108"/>
      <c r="F78" s="220" t="s">
        <v>10</v>
      </c>
      <c r="G78" s="27"/>
      <c r="H78" s="27"/>
      <c r="I78" s="109"/>
      <c r="J78" s="108"/>
      <c r="K78" s="26" t="s">
        <v>28</v>
      </c>
      <c r="L78" s="27"/>
      <c r="M78" s="28"/>
      <c r="N78" s="29"/>
    </row>
    <row r="79" spans="1:14" ht="30" x14ac:dyDescent="0.25">
      <c r="A79" s="30" t="str">
        <f ca="1">IF(A78&gt;0,INDEX(INDIRECT(F77),2,1),"")</f>
        <v>Пшенка</v>
      </c>
      <c r="B79" s="31" t="str">
        <f t="shared" ref="B79:B84" ca="1" si="51">IF($A79&gt;0,INDEX(Продукты,MATCH($A79,INDEX(Продукты,,1),0),2),0)</f>
        <v>гр</v>
      </c>
      <c r="C79" s="31">
        <f t="shared" ref="C79:C84" ca="1" si="52">IF($A79&gt;0,INDEX(Продукты,MATCH($A79,INDEX(Продукты,,1),0),3),0)</f>
        <v>60</v>
      </c>
      <c r="D79" s="33">
        <f t="shared" ref="D79:D84" ca="1" si="53">ROUND(C79*$B$2,0)</f>
        <v>720</v>
      </c>
      <c r="E79" s="111"/>
      <c r="F79" s="230" t="str">
        <f ca="1">IF(F78&gt;0,INDEX(INDIRECT(F77),2,6),"")</f>
        <v>Суп русский продукт
Мясной</v>
      </c>
      <c r="G79" s="31" t="str">
        <f t="shared" ref="G79:G84" ca="1" si="54">IF($F79&gt;0,INDEX(Продукты,MATCH($F79,INDEX(Продукты,,1),0),2),0)</f>
        <v>шт</v>
      </c>
      <c r="H79" s="31">
        <f t="shared" ref="H79:H84" ca="1" si="55">IF($F79&gt;0,INDEX(Продукты,MATCH($F79,INDEX(Продукты,,1),0),3),0)</f>
        <v>0.5</v>
      </c>
      <c r="I79" s="110">
        <f t="shared" ref="I79:I84" ca="1" si="56">H79*$B$2</f>
        <v>6</v>
      </c>
      <c r="J79" s="111"/>
      <c r="K79" s="30" t="str">
        <f ca="1">IF(K78&gt;0,INDEX(INDIRECT(F77),2,11),"")</f>
        <v>Рис</v>
      </c>
      <c r="L79" s="31" t="str">
        <f t="shared" ref="L79:L84" ca="1" si="57">IF($K79&gt;0,INDEX(Продукты,MATCH($K79,INDEX(Продукты,,1),0),2),"")</f>
        <v>гр</v>
      </c>
      <c r="M79" s="32">
        <f t="shared" ref="M79:M84" ca="1" si="58">IF($K79&gt;0,INDEX(Продукты,MATCH($K79,INDEX(Продукты,,1),0),3),"")</f>
        <v>90</v>
      </c>
      <c r="N79" s="33">
        <f ca="1">M79*$B$2</f>
        <v>1080</v>
      </c>
    </row>
    <row r="80" spans="1:14" x14ac:dyDescent="0.25">
      <c r="A80" s="34" t="str">
        <f ca="1">IF(A78&gt;0,INDEX(INDIRECT(F77),3,1),"")</f>
        <v>Сухофрукты</v>
      </c>
      <c r="B80" s="35" t="str">
        <f t="shared" ca="1" si="51"/>
        <v>гр</v>
      </c>
      <c r="C80" s="35">
        <f t="shared" ca="1" si="52"/>
        <v>20</v>
      </c>
      <c r="D80" s="37">
        <f t="shared" ca="1" si="53"/>
        <v>240</v>
      </c>
      <c r="E80" s="111"/>
      <c r="F80" s="231" t="str">
        <f ca="1">IF(F78&gt;0,INDEX(INDIRECT(F77),3,6),"")</f>
        <v>Смесь Cykoria овощная сухая</v>
      </c>
      <c r="G80" s="35" t="str">
        <f t="shared" ca="1" si="54"/>
        <v>шт</v>
      </c>
      <c r="H80" s="35">
        <f t="shared" ca="1" si="55"/>
        <v>8.3333333333333329E-2</v>
      </c>
      <c r="I80" s="114">
        <f t="shared" ca="1" si="56"/>
        <v>1</v>
      </c>
      <c r="J80" s="111"/>
      <c r="K80" s="34" t="str">
        <f ca="1">IF(K78&gt;0,INDEX(INDIRECT(F77),3,11),"")</f>
        <v>Рыбные консервы</v>
      </c>
      <c r="L80" s="35" t="str">
        <f t="shared" ca="1" si="57"/>
        <v>шт</v>
      </c>
      <c r="M80" s="36">
        <f t="shared" ca="1" si="58"/>
        <v>0.44444444444444442</v>
      </c>
      <c r="N80" s="37">
        <f ca="1">M80*$B$2</f>
        <v>5.333333333333333</v>
      </c>
    </row>
    <row r="81" spans="1:14" x14ac:dyDescent="0.25">
      <c r="A81" s="34" t="str">
        <f ca="1">IF(A78&gt;0,INDEX(INDIRECT(F77),4,1),"")</f>
        <v>Сгущенка</v>
      </c>
      <c r="B81" s="35" t="str">
        <f t="shared" ca="1" si="51"/>
        <v>гр</v>
      </c>
      <c r="C81" s="35">
        <f t="shared" ca="1" si="52"/>
        <v>50</v>
      </c>
      <c r="D81" s="37">
        <f t="shared" ca="1" si="53"/>
        <v>600</v>
      </c>
      <c r="E81" s="111"/>
      <c r="F81" s="231" t="str">
        <f ca="1">IF(F78&gt;0,INDEX(INDIRECT(F77),4,6),"")</f>
        <v>Сырокопченая колбаса</v>
      </c>
      <c r="G81" s="35" t="str">
        <f t="shared" ca="1" si="54"/>
        <v>гр</v>
      </c>
      <c r="H81" s="35">
        <f t="shared" ca="1" si="55"/>
        <v>50</v>
      </c>
      <c r="I81" s="114">
        <f t="shared" ca="1" si="56"/>
        <v>600</v>
      </c>
      <c r="J81" s="111"/>
      <c r="K81" s="34" t="str">
        <f ca="1">IF(K78&gt;0,INDEX(INDIRECT(F77),4,11),"")</f>
        <v>Пряники</v>
      </c>
      <c r="L81" s="35" t="str">
        <f t="shared" ca="1" si="57"/>
        <v>шт</v>
      </c>
      <c r="M81" s="175">
        <f t="shared" ca="1" si="58"/>
        <v>2</v>
      </c>
      <c r="N81" s="37">
        <f ca="1">M81*$B$2</f>
        <v>24</v>
      </c>
    </row>
    <row r="82" spans="1:14" x14ac:dyDescent="0.25">
      <c r="A82" s="34" t="str">
        <f ca="1">IF(A78&gt;0,INDEX(INDIRECT(F77),5,1),"")</f>
        <v>Хлеб куски</v>
      </c>
      <c r="B82" s="35" t="str">
        <f t="shared" ca="1" si="51"/>
        <v>шт</v>
      </c>
      <c r="C82" s="35">
        <f t="shared" ca="1" si="52"/>
        <v>2</v>
      </c>
      <c r="D82" s="37">
        <f t="shared" ca="1" si="53"/>
        <v>24</v>
      </c>
      <c r="E82" s="111"/>
      <c r="F82" s="231" t="str">
        <f ca="1">IF(F78&gt;0,INDEX(INDIRECT(F77),5,6),"")</f>
        <v>Натс</v>
      </c>
      <c r="G82" s="35" t="str">
        <f t="shared" ca="1" si="54"/>
        <v>шт</v>
      </c>
      <c r="H82" s="35">
        <f t="shared" ca="1" si="55"/>
        <v>1</v>
      </c>
      <c r="I82" s="114">
        <f t="shared" ca="1" si="56"/>
        <v>12</v>
      </c>
      <c r="J82" s="111"/>
      <c r="K82" s="34" t="str">
        <f ca="1">IF(K78&gt;0,INDEX(INDIRECT(F77),5,11),"")</f>
        <v>Хлеб куски</v>
      </c>
      <c r="L82" s="35" t="str">
        <f t="shared" ca="1" si="57"/>
        <v>шт</v>
      </c>
      <c r="M82" s="203">
        <f t="shared" ca="1" si="58"/>
        <v>2</v>
      </c>
      <c r="N82" s="37">
        <f ca="1">M82*$B$2</f>
        <v>24</v>
      </c>
    </row>
    <row r="83" spans="1:14" x14ac:dyDescent="0.25">
      <c r="A83" s="34" t="str">
        <f ca="1">IF(A78&gt;0,INDEX(INDIRECT(F77),6,1),"")</f>
        <v>Сыр</v>
      </c>
      <c r="B83" s="35" t="str">
        <f t="shared" ca="1" si="51"/>
        <v>гр</v>
      </c>
      <c r="C83" s="35">
        <f t="shared" ca="1" si="52"/>
        <v>50</v>
      </c>
      <c r="D83" s="37">
        <f t="shared" ca="1" si="53"/>
        <v>600</v>
      </c>
      <c r="E83" s="111"/>
      <c r="F83" s="231" t="str">
        <f ca="1">IF(F78&gt;0,INDEX(INDIRECT(F77),6,6),"")</f>
        <v>Хлеб куски</v>
      </c>
      <c r="G83" s="35" t="str">
        <f t="shared" ca="1" si="54"/>
        <v>шт</v>
      </c>
      <c r="H83" s="35">
        <f t="shared" ca="1" si="55"/>
        <v>2</v>
      </c>
      <c r="I83" s="114">
        <f t="shared" ca="1" si="56"/>
        <v>24</v>
      </c>
      <c r="J83" s="111"/>
      <c r="K83" s="34" t="str">
        <f ca="1">IF(K78&gt;0,INDEX(INDIRECT(F77),6,11),"")</f>
        <v>Лук</v>
      </c>
      <c r="L83" s="35" t="str">
        <f t="shared" ca="1" si="57"/>
        <v>шт</v>
      </c>
      <c r="M83" s="36">
        <f t="shared" ca="1" si="58"/>
        <v>0.25</v>
      </c>
      <c r="N83" s="37"/>
    </row>
    <row r="84" spans="1:14" ht="15.75" thickBot="1" x14ac:dyDescent="0.3">
      <c r="A84" s="38">
        <f ca="1">IF(A78&gt;0,INDEX(INDIRECT(F77),7,1),"")</f>
        <v>0</v>
      </c>
      <c r="B84" s="39">
        <f t="shared" ca="1" si="51"/>
        <v>0</v>
      </c>
      <c r="C84" s="39">
        <f t="shared" ca="1" si="52"/>
        <v>0</v>
      </c>
      <c r="D84" s="41">
        <f t="shared" ca="1" si="53"/>
        <v>0</v>
      </c>
      <c r="E84" s="117"/>
      <c r="F84" s="232" t="str">
        <f ca="1">IF(F78&gt;0,INDEX(INDIRECT(F77),7,6),"")</f>
        <v>Чеснок</v>
      </c>
      <c r="G84" s="39" t="str">
        <f t="shared" ca="1" si="54"/>
        <v>шт</v>
      </c>
      <c r="H84" s="39">
        <f t="shared" ca="1" si="55"/>
        <v>0.25</v>
      </c>
      <c r="I84" s="116">
        <f t="shared" ca="1" si="56"/>
        <v>3</v>
      </c>
      <c r="J84" s="117"/>
      <c r="K84" s="38">
        <f ca="1">IF(K78&gt;0,INDEX(INDIRECT(F77),7,11),"")</f>
        <v>0</v>
      </c>
      <c r="L84" s="39" t="str">
        <f t="shared" ca="1" si="57"/>
        <v/>
      </c>
      <c r="M84" s="40" t="str">
        <f t="shared" ca="1" si="58"/>
        <v/>
      </c>
      <c r="N84" s="41"/>
    </row>
    <row r="85" spans="1:14" ht="15.75" thickBot="1" x14ac:dyDescent="0.3">
      <c r="A85" s="5"/>
      <c r="B85" s="5"/>
      <c r="C85" s="5"/>
      <c r="D85" s="6"/>
      <c r="F85" s="209"/>
      <c r="G85" s="5"/>
      <c r="H85" s="5"/>
      <c r="I85" s="6"/>
      <c r="K85" s="5"/>
      <c r="L85" s="5"/>
      <c r="M85" s="7"/>
      <c r="N85" s="6"/>
    </row>
    <row r="86" spans="1:14" ht="19.5" thickBot="1" x14ac:dyDescent="0.35">
      <c r="A86" s="206" t="str">
        <f>IF(RIGHT(A77,2)+1&lt;=$G$2,"День "&amp;RIGHT(A77,2)+1,"")</f>
        <v>День 9</v>
      </c>
      <c r="B86" s="307">
        <f>B77+1</f>
        <v>42104</v>
      </c>
      <c r="C86" s="308"/>
      <c r="D86" s="5"/>
      <c r="F86" s="210" t="str">
        <f>IF(RIGHT(A86,1)+0=0,"День5",IF(RIGHT(A86,1)+0&gt;5,"День"&amp;RIGHT(A86,1)-5,"День"&amp;RIGHT(A86,1)))</f>
        <v>День4</v>
      </c>
      <c r="G86" s="5"/>
      <c r="H86" s="5"/>
      <c r="I86" s="5"/>
      <c r="K86" s="5"/>
      <c r="L86" s="5"/>
      <c r="M86" s="7"/>
      <c r="N86" s="6"/>
    </row>
    <row r="87" spans="1:14" ht="15.75" thickBot="1" x14ac:dyDescent="0.3">
      <c r="A87" s="58" t="s">
        <v>0</v>
      </c>
      <c r="B87" s="59"/>
      <c r="C87" s="59"/>
      <c r="D87" s="85"/>
      <c r="E87" s="84"/>
      <c r="F87" s="222"/>
      <c r="G87" s="59"/>
      <c r="H87" s="59"/>
      <c r="I87" s="85"/>
      <c r="J87" s="84"/>
      <c r="K87" s="58"/>
      <c r="L87" s="59"/>
      <c r="M87" s="60"/>
      <c r="N87" s="61"/>
    </row>
    <row r="88" spans="1:14" ht="30" x14ac:dyDescent="0.25">
      <c r="A88" s="62" t="str">
        <f ca="1">IF(A87&gt;0,INDEX(INDIRECT(F86),2,1),"")</f>
        <v>4 Злака</v>
      </c>
      <c r="B88" s="63" t="str">
        <f t="shared" ref="B88:B93" ca="1" si="59">IF($A88&gt;0,INDEX(Продукты,MATCH($A88,INDEX(Продукты,,1),0),2),0)</f>
        <v>гр</v>
      </c>
      <c r="C88" s="63">
        <f t="shared" ref="C88:C93" ca="1" si="60">IF($A88&gt;0,INDEX(Продукты,MATCH($A88,INDEX(Продукты,,1),0),3),0)</f>
        <v>60</v>
      </c>
      <c r="D88" s="65">
        <f t="shared" ref="D88:D93" ca="1" si="61">ROUND(C88*$B$2,0)</f>
        <v>720</v>
      </c>
      <c r="E88" s="87"/>
      <c r="F88" s="223" t="str">
        <f ca="1">IF(F87&gt;0,INDEX(INDIRECT(F86),2,6),"")</f>
        <v/>
      </c>
      <c r="G88" s="63" t="e">
        <f t="shared" ref="G88:G93" ca="1" si="62">IF($F88&gt;0,INDEX(Продукты,MATCH($F88,INDEX(Продукты,,1),0),2),0)</f>
        <v>#N/A</v>
      </c>
      <c r="H88" s="63" t="e">
        <f t="shared" ref="H88:H93" ca="1" si="63">IF($F88&gt;0,INDEX(Продукты,MATCH($F88,INDEX(Продукты,,1),0),3),0)</f>
        <v>#N/A</v>
      </c>
      <c r="I88" s="86" t="e">
        <f t="shared" ref="I88:I93" ca="1" si="64">H88*$B$2</f>
        <v>#N/A</v>
      </c>
      <c r="J88" s="87"/>
      <c r="K88" s="62" t="str">
        <f ca="1">IF(K87&gt;0,INDEX(INDIRECT(F86),2,11),"")</f>
        <v/>
      </c>
      <c r="L88" s="63" t="e">
        <f t="shared" ref="L88:L93" ca="1" si="65">IF($K88&gt;0,INDEX(Продукты,MATCH($K88,INDEX(Продукты,,1),0),2),"")</f>
        <v>#N/A</v>
      </c>
      <c r="M88" s="64" t="e">
        <f t="shared" ref="M88:M93" ca="1" si="66">IF($K88&gt;0,INDEX(Продукты,MATCH($K88,INDEX(Продукты,,1),0),3),"")</f>
        <v>#N/A</v>
      </c>
      <c r="N88" s="65" t="e">
        <f ca="1">M88*$B$2</f>
        <v>#N/A</v>
      </c>
    </row>
    <row r="89" spans="1:14" x14ac:dyDescent="0.25">
      <c r="A89" s="66" t="str">
        <f ca="1">IF(A87&gt;0,INDEX(INDIRECT(F86),3,1),"")</f>
        <v>Сушеные ягоды</v>
      </c>
      <c r="B89" s="67" t="str">
        <f t="shared" ca="1" si="59"/>
        <v>гр</v>
      </c>
      <c r="C89" s="67">
        <f t="shared" ca="1" si="60"/>
        <v>5</v>
      </c>
      <c r="D89" s="69">
        <f t="shared" ca="1" si="61"/>
        <v>60</v>
      </c>
      <c r="E89" s="87"/>
      <c r="F89" s="224" t="str">
        <f ca="1">IF(F87&gt;0,INDEX(INDIRECT(F86),3,6),"")</f>
        <v/>
      </c>
      <c r="G89" s="67" t="e">
        <f t="shared" ca="1" si="62"/>
        <v>#N/A</v>
      </c>
      <c r="H89" s="67" t="e">
        <f t="shared" ca="1" si="63"/>
        <v>#N/A</v>
      </c>
      <c r="I89" s="90" t="e">
        <f t="shared" ca="1" si="64"/>
        <v>#N/A</v>
      </c>
      <c r="J89" s="87"/>
      <c r="K89" s="66" t="str">
        <f ca="1">IF(K87&gt;0,INDEX(INDIRECT(F86),3,11),"")</f>
        <v/>
      </c>
      <c r="L89" s="67" t="e">
        <f t="shared" ca="1" si="65"/>
        <v>#N/A</v>
      </c>
      <c r="M89" s="68" t="e">
        <f t="shared" ca="1" si="66"/>
        <v>#N/A</v>
      </c>
      <c r="N89" s="69" t="e">
        <f ca="1">M89*$B$2</f>
        <v>#N/A</v>
      </c>
    </row>
    <row r="90" spans="1:14" x14ac:dyDescent="0.25">
      <c r="A90" s="66" t="str">
        <f ca="1">IF(A87&gt;0,INDEX(INDIRECT(F86),4,1),"")</f>
        <v>Сгущенка</v>
      </c>
      <c r="B90" s="67" t="str">
        <f t="shared" ca="1" si="59"/>
        <v>гр</v>
      </c>
      <c r="C90" s="67">
        <f t="shared" ca="1" si="60"/>
        <v>50</v>
      </c>
      <c r="D90" s="69">
        <f t="shared" ca="1" si="61"/>
        <v>600</v>
      </c>
      <c r="E90" s="87"/>
      <c r="F90" s="224" t="str">
        <f ca="1">IF(F87&gt;0,INDEX(INDIRECT(F86),4,6),"")</f>
        <v/>
      </c>
      <c r="G90" s="67" t="e">
        <f t="shared" ca="1" si="62"/>
        <v>#N/A</v>
      </c>
      <c r="H90" s="67" t="e">
        <f t="shared" ca="1" si="63"/>
        <v>#N/A</v>
      </c>
      <c r="I90" s="90" t="e">
        <f t="shared" ca="1" si="64"/>
        <v>#N/A</v>
      </c>
      <c r="J90" s="87"/>
      <c r="K90" s="66" t="str">
        <f ca="1">IF(K87&gt;0,INDEX(INDIRECT(F86),4,11),"")</f>
        <v/>
      </c>
      <c r="L90" s="67" t="e">
        <f t="shared" ca="1" si="65"/>
        <v>#N/A</v>
      </c>
      <c r="M90" s="176" t="e">
        <f t="shared" ca="1" si="66"/>
        <v>#N/A</v>
      </c>
      <c r="N90" s="69" t="e">
        <f ca="1">M90*$B$2</f>
        <v>#N/A</v>
      </c>
    </row>
    <row r="91" spans="1:14" x14ac:dyDescent="0.25">
      <c r="A91" s="66" t="str">
        <f ca="1">IF(A87&gt;0,INDEX(INDIRECT(F86),5,1),"")</f>
        <v>Хлеб куски</v>
      </c>
      <c r="B91" s="67" t="str">
        <f t="shared" ca="1" si="59"/>
        <v>шт</v>
      </c>
      <c r="C91" s="67">
        <f t="shared" ca="1" si="60"/>
        <v>2</v>
      </c>
      <c r="D91" s="69">
        <f t="shared" ca="1" si="61"/>
        <v>24</v>
      </c>
      <c r="E91" s="87"/>
      <c r="F91" s="224" t="str">
        <f ca="1">IF(F87&gt;0,INDEX(INDIRECT(F86),5,6),"")</f>
        <v/>
      </c>
      <c r="G91" s="67" t="e">
        <f t="shared" ca="1" si="62"/>
        <v>#N/A</v>
      </c>
      <c r="H91" s="67" t="e">
        <f t="shared" ca="1" si="63"/>
        <v>#N/A</v>
      </c>
      <c r="I91" s="90" t="e">
        <f t="shared" ca="1" si="64"/>
        <v>#N/A</v>
      </c>
      <c r="J91" s="87"/>
      <c r="K91" s="66" t="str">
        <f ca="1">IF(K87&gt;0,INDEX(INDIRECT(F86),5,11),"")</f>
        <v/>
      </c>
      <c r="L91" s="67" t="e">
        <f t="shared" ca="1" si="65"/>
        <v>#N/A</v>
      </c>
      <c r="M91" s="204" t="e">
        <f t="shared" ca="1" si="66"/>
        <v>#N/A</v>
      </c>
      <c r="N91" s="69" t="e">
        <f ca="1">M91*$B$2</f>
        <v>#N/A</v>
      </c>
    </row>
    <row r="92" spans="1:14" x14ac:dyDescent="0.25">
      <c r="A92" s="66" t="str">
        <f ca="1">IF(A87&gt;0,INDEX(INDIRECT(F86),6,1),"")</f>
        <v>Паштет</v>
      </c>
      <c r="B92" s="67" t="str">
        <f t="shared" ca="1" si="59"/>
        <v>шт</v>
      </c>
      <c r="C92" s="67">
        <f t="shared" ca="1" si="60"/>
        <v>0.33333333333333331</v>
      </c>
      <c r="D92" s="69">
        <f t="shared" ca="1" si="61"/>
        <v>4</v>
      </c>
      <c r="E92" s="87"/>
      <c r="F92" s="224" t="str">
        <f ca="1">IF(F87&gt;0,INDEX(INDIRECT(F86),6,6),"")</f>
        <v/>
      </c>
      <c r="G92" s="67" t="e">
        <f t="shared" ca="1" si="62"/>
        <v>#N/A</v>
      </c>
      <c r="H92" s="67" t="e">
        <f t="shared" ca="1" si="63"/>
        <v>#N/A</v>
      </c>
      <c r="I92" s="90" t="e">
        <f t="shared" ca="1" si="64"/>
        <v>#N/A</v>
      </c>
      <c r="J92" s="87"/>
      <c r="K92" s="66" t="str">
        <f ca="1">IF(K87&gt;0,INDEX(INDIRECT(F86),6,11),"")</f>
        <v/>
      </c>
      <c r="L92" s="67" t="e">
        <f t="shared" ca="1" si="65"/>
        <v>#N/A</v>
      </c>
      <c r="M92" s="68" t="e">
        <f t="shared" ca="1" si="66"/>
        <v>#N/A</v>
      </c>
      <c r="N92" s="69"/>
    </row>
    <row r="93" spans="1:14" ht="15.75" thickBot="1" x14ac:dyDescent="0.3">
      <c r="A93" s="70">
        <f ca="1">IF(A87&gt;0,INDEX(INDIRECT(F86),7,1),"")</f>
        <v>0</v>
      </c>
      <c r="B93" s="71">
        <f t="shared" ca="1" si="59"/>
        <v>0</v>
      </c>
      <c r="C93" s="71">
        <f t="shared" ca="1" si="60"/>
        <v>0</v>
      </c>
      <c r="D93" s="73">
        <f t="shared" ca="1" si="61"/>
        <v>0</v>
      </c>
      <c r="E93" s="94"/>
      <c r="F93" s="225" t="str">
        <f ca="1">IF(F87&gt;0,INDEX(INDIRECT(F86),7,6),"")</f>
        <v/>
      </c>
      <c r="G93" s="71" t="e">
        <f t="shared" ca="1" si="62"/>
        <v>#N/A</v>
      </c>
      <c r="H93" s="71" t="e">
        <f t="shared" ca="1" si="63"/>
        <v>#N/A</v>
      </c>
      <c r="I93" s="93" t="e">
        <f t="shared" ca="1" si="64"/>
        <v>#N/A</v>
      </c>
      <c r="J93" s="94"/>
      <c r="K93" s="70" t="str">
        <f ca="1">IF(K87&gt;0,INDEX(INDIRECT(F86),7,11),"")</f>
        <v/>
      </c>
      <c r="L93" s="71" t="e">
        <f t="shared" ca="1" si="65"/>
        <v>#N/A</v>
      </c>
      <c r="M93" s="72" t="e">
        <f t="shared" ca="1" si="66"/>
        <v>#N/A</v>
      </c>
      <c r="N93" s="73"/>
    </row>
    <row r="94" spans="1:14" ht="15.75" thickBot="1" x14ac:dyDescent="0.3">
      <c r="A94" s="5"/>
      <c r="B94" s="5"/>
      <c r="C94" s="5"/>
      <c r="D94" s="5"/>
      <c r="F94" s="209"/>
      <c r="G94" s="5"/>
      <c r="H94" s="5"/>
      <c r="I94" s="5"/>
      <c r="K94" s="5"/>
      <c r="L94" s="5"/>
      <c r="M94" s="7"/>
      <c r="N94" s="6"/>
    </row>
    <row r="95" spans="1:14" ht="19.5" thickBot="1" x14ac:dyDescent="0.35">
      <c r="A95" s="206" t="str">
        <f>IF(RIGHT(A86,2)+1&lt;=$G$2,"День "&amp;RIGHT(A86,2)+1,"")</f>
        <v/>
      </c>
      <c r="B95" s="307">
        <f>B86+1</f>
        <v>42105</v>
      </c>
      <c r="C95" s="308"/>
      <c r="D95" s="5"/>
      <c r="F95" s="210" t="e">
        <f>IF(RIGHT(A95,1)+0=0,"День5",IF(RIGHT(A95,1)+0&gt;5,"День"&amp;RIGHT(A95,1)-5,"День"&amp;RIGHT(A95,1)))</f>
        <v>#VALUE!</v>
      </c>
      <c r="G95" s="5"/>
      <c r="H95" s="5"/>
      <c r="I95" s="5"/>
      <c r="K95" s="5"/>
      <c r="L95" s="5"/>
      <c r="M95" s="7"/>
      <c r="N95" s="6"/>
    </row>
    <row r="96" spans="1:14" ht="15.75" thickBot="1" x14ac:dyDescent="0.3">
      <c r="A96" s="119" t="s">
        <v>0</v>
      </c>
      <c r="B96" s="120"/>
      <c r="C96" s="120"/>
      <c r="D96" s="123"/>
      <c r="E96" s="122"/>
      <c r="F96" s="226" t="s">
        <v>10</v>
      </c>
      <c r="G96" s="120"/>
      <c r="H96" s="120"/>
      <c r="I96" s="123"/>
      <c r="J96" s="122"/>
      <c r="K96" s="119" t="s">
        <v>28</v>
      </c>
      <c r="L96" s="120"/>
      <c r="M96" s="124"/>
      <c r="N96" s="121"/>
    </row>
    <row r="97" spans="1:14" ht="30" x14ac:dyDescent="0.25">
      <c r="A97" s="125" t="e">
        <f ca="1">IF(A96&gt;0,INDEX(INDIRECT(F95),2,1),"")</f>
        <v>#VALUE!</v>
      </c>
      <c r="B97" s="126" t="e">
        <f t="shared" ref="B97:B102" ca="1" si="67">IF($A97&gt;0,INDEX(Продукты,MATCH($A97,INDEX(Продукты,,1),0),2),0)</f>
        <v>#VALUE!</v>
      </c>
      <c r="C97" s="126" t="e">
        <f t="shared" ref="C97:C102" ca="1" si="68">IF($A97&gt;0,INDEX(Продукты,MATCH($A97,INDEX(Продукты,,1),0),3),0)</f>
        <v>#VALUE!</v>
      </c>
      <c r="D97" s="132" t="e">
        <f t="shared" ref="D97:D102" ca="1" si="69">ROUND(C97*$B$2,0)</f>
        <v>#VALUE!</v>
      </c>
      <c r="E97" s="128"/>
      <c r="F97" s="227" t="e">
        <f ca="1">IF(F96&gt;0,INDEX(INDIRECT(F95),2,6),"")</f>
        <v>#VALUE!</v>
      </c>
      <c r="G97" s="126" t="e">
        <f t="shared" ref="G97:G102" ca="1" si="70">IF($F97&gt;0,INDEX(Продукты,MATCH($F97,INDEX(Продукты,,1),0),2),0)</f>
        <v>#VALUE!</v>
      </c>
      <c r="H97" s="126" t="e">
        <f t="shared" ref="H97:H102" ca="1" si="71">IF($F97&gt;0,INDEX(Продукты,MATCH($F97,INDEX(Продукты,,1),0),3),0)</f>
        <v>#VALUE!</v>
      </c>
      <c r="I97" s="127" t="e">
        <f t="shared" ref="I97:I102" ca="1" si="72">H97*$B$2</f>
        <v>#VALUE!</v>
      </c>
      <c r="J97" s="128"/>
      <c r="K97" s="125" t="e">
        <f ca="1">IF(K96&gt;0,INDEX(INDIRECT(F95),2,11),"")</f>
        <v>#VALUE!</v>
      </c>
      <c r="L97" s="126" t="e">
        <f t="shared" ref="L97:L102" ca="1" si="73">IF($K97&gt;0,INDEX(Продукты,MATCH($K97,INDEX(Продукты,,1),0),2),"")</f>
        <v>#VALUE!</v>
      </c>
      <c r="M97" s="131" t="e">
        <f t="shared" ref="M97:M102" ca="1" si="74">IF($K97&gt;0,INDEX(Продукты,MATCH($K97,INDEX(Продукты,,1),0),3),"")</f>
        <v>#VALUE!</v>
      </c>
      <c r="N97" s="132" t="e">
        <f ca="1">M97*$B$2</f>
        <v>#VALUE!</v>
      </c>
    </row>
    <row r="98" spans="1:14" x14ac:dyDescent="0.25">
      <c r="A98" s="133" t="e">
        <f ca="1">IF(A96&gt;0,INDEX(INDIRECT(F95),3,1),"")</f>
        <v>#VALUE!</v>
      </c>
      <c r="B98" s="134" t="e">
        <f t="shared" ca="1" si="67"/>
        <v>#VALUE!</v>
      </c>
      <c r="C98" s="134" t="e">
        <f t="shared" ca="1" si="68"/>
        <v>#VALUE!</v>
      </c>
      <c r="D98" s="139" t="e">
        <f t="shared" ca="1" si="69"/>
        <v>#VALUE!</v>
      </c>
      <c r="E98" s="128"/>
      <c r="F98" s="228" t="e">
        <f ca="1">IF(F96&gt;0,INDEX(INDIRECT(F95),3,6),"")</f>
        <v>#VALUE!</v>
      </c>
      <c r="G98" s="134" t="e">
        <f t="shared" ca="1" si="70"/>
        <v>#VALUE!</v>
      </c>
      <c r="H98" s="134" t="e">
        <f t="shared" ca="1" si="71"/>
        <v>#VALUE!</v>
      </c>
      <c r="I98" s="135" t="e">
        <f t="shared" ca="1" si="72"/>
        <v>#VALUE!</v>
      </c>
      <c r="J98" s="128"/>
      <c r="K98" s="133" t="e">
        <f ca="1">IF(K96&gt;0,INDEX(INDIRECT(F95),3,11),"")</f>
        <v>#VALUE!</v>
      </c>
      <c r="L98" s="134" t="e">
        <f t="shared" ca="1" si="73"/>
        <v>#VALUE!</v>
      </c>
      <c r="M98" s="138" t="e">
        <f t="shared" ca="1" si="74"/>
        <v>#VALUE!</v>
      </c>
      <c r="N98" s="139" t="e">
        <f ca="1">M98*$B$2</f>
        <v>#VALUE!</v>
      </c>
    </row>
    <row r="99" spans="1:14" x14ac:dyDescent="0.25">
      <c r="A99" s="133" t="e">
        <f ca="1">IF(A96&gt;0,INDEX(INDIRECT(F95),4,1),"")</f>
        <v>#VALUE!</v>
      </c>
      <c r="B99" s="134" t="e">
        <f t="shared" ca="1" si="67"/>
        <v>#VALUE!</v>
      </c>
      <c r="C99" s="134" t="e">
        <f t="shared" ca="1" si="68"/>
        <v>#VALUE!</v>
      </c>
      <c r="D99" s="139" t="e">
        <f t="shared" ca="1" si="69"/>
        <v>#VALUE!</v>
      </c>
      <c r="E99" s="128"/>
      <c r="F99" s="228" t="e">
        <f ca="1">IF(F96&gt;0,INDEX(INDIRECT(F95),4,6),"")</f>
        <v>#VALUE!</v>
      </c>
      <c r="G99" s="134" t="e">
        <f t="shared" ca="1" si="70"/>
        <v>#VALUE!</v>
      </c>
      <c r="H99" s="134" t="e">
        <f t="shared" ca="1" si="71"/>
        <v>#VALUE!</v>
      </c>
      <c r="I99" s="135" t="e">
        <f t="shared" ca="1" si="72"/>
        <v>#VALUE!</v>
      </c>
      <c r="J99" s="128"/>
      <c r="K99" s="133" t="e">
        <f ca="1">IF(K96&gt;0,INDEX(INDIRECT(F95),4,11),"")</f>
        <v>#VALUE!</v>
      </c>
      <c r="L99" s="134" t="e">
        <f t="shared" ca="1" si="73"/>
        <v>#VALUE!</v>
      </c>
      <c r="M99" s="177" t="e">
        <f t="shared" ca="1" si="74"/>
        <v>#VALUE!</v>
      </c>
      <c r="N99" s="139" t="e">
        <f ca="1">M99*$B$2</f>
        <v>#VALUE!</v>
      </c>
    </row>
    <row r="100" spans="1:14" x14ac:dyDescent="0.25">
      <c r="A100" s="133" t="e">
        <f ca="1">IF(A96&gt;0,INDEX(INDIRECT(F95),5,1),"")</f>
        <v>#VALUE!</v>
      </c>
      <c r="B100" s="134" t="e">
        <f t="shared" ca="1" si="67"/>
        <v>#VALUE!</v>
      </c>
      <c r="C100" s="134" t="e">
        <f t="shared" ca="1" si="68"/>
        <v>#VALUE!</v>
      </c>
      <c r="D100" s="139" t="e">
        <f t="shared" ca="1" si="69"/>
        <v>#VALUE!</v>
      </c>
      <c r="E100" s="128"/>
      <c r="F100" s="228" t="e">
        <f ca="1">IF(F96&gt;0,INDEX(INDIRECT(F95),5,6),"")</f>
        <v>#VALUE!</v>
      </c>
      <c r="G100" s="134" t="e">
        <f t="shared" ca="1" si="70"/>
        <v>#VALUE!</v>
      </c>
      <c r="H100" s="134" t="e">
        <f t="shared" ca="1" si="71"/>
        <v>#VALUE!</v>
      </c>
      <c r="I100" s="135" t="e">
        <f t="shared" ca="1" si="72"/>
        <v>#VALUE!</v>
      </c>
      <c r="J100" s="128"/>
      <c r="K100" s="133" t="e">
        <f ca="1">IF(K96&gt;0,INDEX(INDIRECT(F95),5,11),"")</f>
        <v>#VALUE!</v>
      </c>
      <c r="L100" s="134" t="e">
        <f t="shared" ca="1" si="73"/>
        <v>#VALUE!</v>
      </c>
      <c r="M100" s="205" t="e">
        <f t="shared" ca="1" si="74"/>
        <v>#VALUE!</v>
      </c>
      <c r="N100" s="139" t="e">
        <f ca="1">M100*$B$2</f>
        <v>#VALUE!</v>
      </c>
    </row>
    <row r="101" spans="1:14" x14ac:dyDescent="0.25">
      <c r="A101" s="133" t="e">
        <f ca="1">IF(A96&gt;0,INDEX(INDIRECT(F95),6,1),"")</f>
        <v>#VALUE!</v>
      </c>
      <c r="B101" s="134" t="e">
        <f t="shared" ca="1" si="67"/>
        <v>#VALUE!</v>
      </c>
      <c r="C101" s="134" t="e">
        <f t="shared" ca="1" si="68"/>
        <v>#VALUE!</v>
      </c>
      <c r="D101" s="139" t="e">
        <f t="shared" ca="1" si="69"/>
        <v>#VALUE!</v>
      </c>
      <c r="E101" s="128"/>
      <c r="F101" s="228" t="e">
        <f ca="1">IF(F96&gt;0,INDEX(INDIRECT(F95),6,6),"")</f>
        <v>#VALUE!</v>
      </c>
      <c r="G101" s="134" t="e">
        <f t="shared" ca="1" si="70"/>
        <v>#VALUE!</v>
      </c>
      <c r="H101" s="134" t="e">
        <f t="shared" ca="1" si="71"/>
        <v>#VALUE!</v>
      </c>
      <c r="I101" s="135" t="e">
        <f t="shared" ca="1" si="72"/>
        <v>#VALUE!</v>
      </c>
      <c r="J101" s="128"/>
      <c r="K101" s="133" t="e">
        <f ca="1">IF(K96&gt;0,INDEX(INDIRECT(F95),6,11),"")</f>
        <v>#VALUE!</v>
      </c>
      <c r="L101" s="134" t="e">
        <f t="shared" ca="1" si="73"/>
        <v>#VALUE!</v>
      </c>
      <c r="M101" s="138" t="e">
        <f t="shared" ca="1" si="74"/>
        <v>#VALUE!</v>
      </c>
      <c r="N101" s="139"/>
    </row>
    <row r="102" spans="1:14" ht="15.75" thickBot="1" x14ac:dyDescent="0.3">
      <c r="A102" s="145" t="e">
        <f ca="1">IF(A96&gt;0,INDEX(INDIRECT(F95),7,1),"")</f>
        <v>#VALUE!</v>
      </c>
      <c r="B102" s="146" t="e">
        <f t="shared" ca="1" si="67"/>
        <v>#VALUE!</v>
      </c>
      <c r="C102" s="146" t="e">
        <f t="shared" ca="1" si="68"/>
        <v>#VALUE!</v>
      </c>
      <c r="D102" s="151" t="e">
        <f t="shared" ca="1" si="69"/>
        <v>#VALUE!</v>
      </c>
      <c r="E102" s="148"/>
      <c r="F102" s="229" t="e">
        <f ca="1">IF(F96&gt;0,INDEX(INDIRECT(F95),7,6),"")</f>
        <v>#VALUE!</v>
      </c>
      <c r="G102" s="146" t="e">
        <f t="shared" ca="1" si="70"/>
        <v>#VALUE!</v>
      </c>
      <c r="H102" s="146" t="e">
        <f t="shared" ca="1" si="71"/>
        <v>#VALUE!</v>
      </c>
      <c r="I102" s="147" t="e">
        <f t="shared" ca="1" si="72"/>
        <v>#VALUE!</v>
      </c>
      <c r="J102" s="148"/>
      <c r="K102" s="145" t="e">
        <f ca="1">IF(K96&gt;0,INDEX(INDIRECT(F95),7,11),"")</f>
        <v>#VALUE!</v>
      </c>
      <c r="L102" s="146" t="e">
        <f t="shared" ca="1" si="73"/>
        <v>#VALUE!</v>
      </c>
      <c r="M102" s="150" t="e">
        <f t="shared" ca="1" si="74"/>
        <v>#VALUE!</v>
      </c>
      <c r="N102" s="151"/>
    </row>
    <row r="103" spans="1:14" ht="15.75" thickBot="1" x14ac:dyDescent="0.3"/>
    <row r="104" spans="1:14" ht="19.5" thickBot="1" x14ac:dyDescent="0.35">
      <c r="A104" s="206" t="e">
        <f>IF(RIGHT(A95,2)+1&lt;=$G$2,"День "&amp;RIGHT(A95,2)+1,"")</f>
        <v>#VALUE!</v>
      </c>
      <c r="B104" s="307">
        <f>B95+1</f>
        <v>42106</v>
      </c>
      <c r="C104" s="308"/>
      <c r="D104" s="2"/>
      <c r="F104" s="210" t="e">
        <f>IF(RIGHT(A104,1)+0=0,"День5",IF(RIGHT(A104,1)+0&gt;5,"День"&amp;RIGHT(A104,1)-5,"День"&amp;RIGHT(A104,1)))</f>
        <v>#VALUE!</v>
      </c>
    </row>
    <row r="105" spans="1:14" ht="15.75" thickBot="1" x14ac:dyDescent="0.3">
      <c r="A105" s="42" t="s">
        <v>0</v>
      </c>
      <c r="B105" s="43"/>
      <c r="C105" s="43"/>
      <c r="D105" s="75"/>
      <c r="E105" s="74"/>
      <c r="F105" s="215" t="s">
        <v>10</v>
      </c>
      <c r="G105" s="43"/>
      <c r="H105" s="43"/>
      <c r="I105" s="75"/>
      <c r="J105" s="74"/>
      <c r="K105" s="42" t="s">
        <v>28</v>
      </c>
      <c r="L105" s="43"/>
      <c r="M105" s="44"/>
      <c r="N105" s="45"/>
    </row>
    <row r="106" spans="1:14" ht="30" x14ac:dyDescent="0.25">
      <c r="A106" s="46" t="e">
        <f ca="1">IF(A105&gt;0,INDEX(INDIRECT(F104),2,1),"")</f>
        <v>#VALUE!</v>
      </c>
      <c r="B106" s="47" t="e">
        <f t="shared" ref="B106:B111" ca="1" si="75">IF($A106&gt;0,INDEX(Продукты,MATCH($A106,INDEX(Продукты,,1),0),2),0)</f>
        <v>#VALUE!</v>
      </c>
      <c r="C106" s="47" t="e">
        <f t="shared" ref="C106:C111" ca="1" si="76">IF($A106&gt;0,INDEX(Продукты,MATCH($A106,INDEX(Продукты,,1),0),3),0)</f>
        <v>#VALUE!</v>
      </c>
      <c r="D106" s="49" t="e">
        <f t="shared" ref="D106:D111" ca="1" si="77">ROUND(C106*$B$2,0)</f>
        <v>#VALUE!</v>
      </c>
      <c r="E106" s="76"/>
      <c r="F106" s="207" t="e">
        <f ca="1">IF(F105&gt;0,INDEX(INDIRECT(F104),2,6),"")</f>
        <v>#VALUE!</v>
      </c>
      <c r="G106" s="47" t="e">
        <f t="shared" ref="G106:G111" ca="1" si="78">IF($F106&gt;0,INDEX(Продукты,MATCH($F106,INDEX(Продукты,,1),0),2),0)</f>
        <v>#VALUE!</v>
      </c>
      <c r="H106" s="47" t="e">
        <f t="shared" ref="H106:H111" ca="1" si="79">IF($F106&gt;0,INDEX(Продукты,MATCH($F106,INDEX(Продукты,,1),0),3),0)</f>
        <v>#VALUE!</v>
      </c>
      <c r="I106" s="78" t="e">
        <f t="shared" ref="I106:I111" ca="1" si="80">H106*$B$2</f>
        <v>#VALUE!</v>
      </c>
      <c r="J106" s="76"/>
      <c r="K106" s="46" t="e">
        <f ca="1">IF(K105&gt;0,INDEX(INDIRECT(F104),2,11),"")</f>
        <v>#VALUE!</v>
      </c>
      <c r="L106" s="47" t="e">
        <f t="shared" ref="L106:L111" ca="1" si="81">IF($K106&gt;0,INDEX(Продукты,MATCH($K106,INDEX(Продукты,,1),0),2),"")</f>
        <v>#VALUE!</v>
      </c>
      <c r="M106" s="48" t="e">
        <f t="shared" ref="M106:M111" ca="1" si="82">IF($K106&gt;0,INDEX(Продукты,MATCH($K106,INDEX(Продукты,,1),0),3),"")</f>
        <v>#VALUE!</v>
      </c>
      <c r="N106" s="49" t="e">
        <f ca="1">M106*$B$2</f>
        <v>#VALUE!</v>
      </c>
    </row>
    <row r="107" spans="1:14" x14ac:dyDescent="0.25">
      <c r="A107" s="50" t="e">
        <f ca="1">IF(A105&gt;0,INDEX(INDIRECT(F104),3,1),"")</f>
        <v>#VALUE!</v>
      </c>
      <c r="B107" s="51" t="e">
        <f t="shared" ca="1" si="75"/>
        <v>#VALUE!</v>
      </c>
      <c r="C107" s="51" t="e">
        <f t="shared" ca="1" si="76"/>
        <v>#VALUE!</v>
      </c>
      <c r="D107" s="53" t="e">
        <f t="shared" ca="1" si="77"/>
        <v>#VALUE!</v>
      </c>
      <c r="E107" s="76"/>
      <c r="F107" s="216" t="e">
        <f ca="1">IF(F105&gt;0,INDEX(INDIRECT(F104),3,6),"")</f>
        <v>#VALUE!</v>
      </c>
      <c r="G107" s="51" t="e">
        <f t="shared" ca="1" si="78"/>
        <v>#VALUE!</v>
      </c>
      <c r="H107" s="51" t="e">
        <f t="shared" ca="1" si="79"/>
        <v>#VALUE!</v>
      </c>
      <c r="I107" s="80" t="e">
        <f t="shared" ca="1" si="80"/>
        <v>#VALUE!</v>
      </c>
      <c r="J107" s="76"/>
      <c r="K107" s="50" t="e">
        <f ca="1">IF(K105&gt;0,INDEX(INDIRECT(F104),3,11),"")</f>
        <v>#VALUE!</v>
      </c>
      <c r="L107" s="51" t="e">
        <f t="shared" ca="1" si="81"/>
        <v>#VALUE!</v>
      </c>
      <c r="M107" s="52" t="e">
        <f t="shared" ca="1" si="82"/>
        <v>#VALUE!</v>
      </c>
      <c r="N107" s="53" t="e">
        <f ca="1">M107*$B$2</f>
        <v>#VALUE!</v>
      </c>
    </row>
    <row r="108" spans="1:14" x14ac:dyDescent="0.25">
      <c r="A108" s="50" t="e">
        <f ca="1">IF(A105&gt;0,INDEX(INDIRECT(F104),4,1),"")</f>
        <v>#VALUE!</v>
      </c>
      <c r="B108" s="51" t="e">
        <f t="shared" ca="1" si="75"/>
        <v>#VALUE!</v>
      </c>
      <c r="C108" s="51" t="e">
        <f t="shared" ca="1" si="76"/>
        <v>#VALUE!</v>
      </c>
      <c r="D108" s="53" t="e">
        <f t="shared" ca="1" si="77"/>
        <v>#VALUE!</v>
      </c>
      <c r="E108" s="76"/>
      <c r="F108" s="216" t="e">
        <f ca="1">IF(F105&gt;0,INDEX(INDIRECT(F104),4,6),"")</f>
        <v>#VALUE!</v>
      </c>
      <c r="G108" s="51" t="e">
        <f t="shared" ca="1" si="78"/>
        <v>#VALUE!</v>
      </c>
      <c r="H108" s="51" t="e">
        <f t="shared" ca="1" si="79"/>
        <v>#VALUE!</v>
      </c>
      <c r="I108" s="80" t="e">
        <f t="shared" ca="1" si="80"/>
        <v>#VALUE!</v>
      </c>
      <c r="J108" s="76"/>
      <c r="K108" s="50" t="e">
        <f ca="1">IF(K105&gt;0,INDEX(INDIRECT(F104),4,11),"")</f>
        <v>#VALUE!</v>
      </c>
      <c r="L108" s="51" t="e">
        <f t="shared" ca="1" si="81"/>
        <v>#VALUE!</v>
      </c>
      <c r="M108" s="173" t="e">
        <f t="shared" ca="1" si="82"/>
        <v>#VALUE!</v>
      </c>
      <c r="N108" s="53" t="e">
        <f ca="1">M108*$B$2</f>
        <v>#VALUE!</v>
      </c>
    </row>
    <row r="109" spans="1:14" x14ac:dyDescent="0.25">
      <c r="A109" s="50" t="e">
        <f ca="1">IF(A105&gt;0,INDEX(INDIRECT(F104),5,1),"")</f>
        <v>#VALUE!</v>
      </c>
      <c r="B109" s="51" t="e">
        <f t="shared" ca="1" si="75"/>
        <v>#VALUE!</v>
      </c>
      <c r="C109" s="51" t="e">
        <f t="shared" ca="1" si="76"/>
        <v>#VALUE!</v>
      </c>
      <c r="D109" s="53" t="e">
        <f t="shared" ca="1" si="77"/>
        <v>#VALUE!</v>
      </c>
      <c r="E109" s="76"/>
      <c r="F109" s="216" t="e">
        <f ca="1">IF(F105&gt;0,INDEX(INDIRECT(F104),5,6),"")</f>
        <v>#VALUE!</v>
      </c>
      <c r="G109" s="51" t="e">
        <f t="shared" ca="1" si="78"/>
        <v>#VALUE!</v>
      </c>
      <c r="H109" s="51" t="e">
        <f t="shared" ca="1" si="79"/>
        <v>#VALUE!</v>
      </c>
      <c r="I109" s="80" t="e">
        <f t="shared" ca="1" si="80"/>
        <v>#VALUE!</v>
      </c>
      <c r="J109" s="76"/>
      <c r="K109" s="50" t="e">
        <f ca="1">IF(K105&gt;0,INDEX(INDIRECT(F104),5,11),"")</f>
        <v>#VALUE!</v>
      </c>
      <c r="L109" s="51" t="e">
        <f t="shared" ca="1" si="81"/>
        <v>#VALUE!</v>
      </c>
      <c r="M109" s="179" t="e">
        <f t="shared" ca="1" si="82"/>
        <v>#VALUE!</v>
      </c>
      <c r="N109" s="53" t="e">
        <f ca="1">M109*$B$2</f>
        <v>#VALUE!</v>
      </c>
    </row>
    <row r="110" spans="1:14" x14ac:dyDescent="0.25">
      <c r="A110" s="50" t="e">
        <f ca="1">IF(A105&gt;0,INDEX(INDIRECT(F104),6,1),"")</f>
        <v>#VALUE!</v>
      </c>
      <c r="B110" s="51" t="e">
        <f t="shared" ca="1" si="75"/>
        <v>#VALUE!</v>
      </c>
      <c r="C110" s="51" t="e">
        <f t="shared" ca="1" si="76"/>
        <v>#VALUE!</v>
      </c>
      <c r="D110" s="53" t="e">
        <f t="shared" ca="1" si="77"/>
        <v>#VALUE!</v>
      </c>
      <c r="E110" s="76"/>
      <c r="F110" s="216" t="e">
        <f ca="1">IF(F105&gt;0,INDEX(INDIRECT(F104),6,6),"")</f>
        <v>#VALUE!</v>
      </c>
      <c r="G110" s="51" t="e">
        <f t="shared" ca="1" si="78"/>
        <v>#VALUE!</v>
      </c>
      <c r="H110" s="51" t="e">
        <f t="shared" ca="1" si="79"/>
        <v>#VALUE!</v>
      </c>
      <c r="I110" s="80" t="e">
        <f t="shared" ca="1" si="80"/>
        <v>#VALUE!</v>
      </c>
      <c r="J110" s="76"/>
      <c r="K110" s="50" t="e">
        <f ca="1">IF(K105&gt;0,INDEX(INDIRECT(F104),6,11),"")</f>
        <v>#VALUE!</v>
      </c>
      <c r="L110" s="51" t="e">
        <f t="shared" ca="1" si="81"/>
        <v>#VALUE!</v>
      </c>
      <c r="M110" s="52" t="e">
        <f t="shared" ca="1" si="82"/>
        <v>#VALUE!</v>
      </c>
      <c r="N110" s="53"/>
    </row>
    <row r="111" spans="1:14" ht="15.75" thickBot="1" x14ac:dyDescent="0.3">
      <c r="A111" s="54" t="e">
        <f ca="1">IF(A105&gt;0,INDEX(INDIRECT(F104),7,1),"")</f>
        <v>#VALUE!</v>
      </c>
      <c r="B111" s="55" t="e">
        <f t="shared" ca="1" si="75"/>
        <v>#VALUE!</v>
      </c>
      <c r="C111" s="55" t="e">
        <f t="shared" ca="1" si="76"/>
        <v>#VALUE!</v>
      </c>
      <c r="D111" s="57" t="e">
        <f t="shared" ca="1" si="77"/>
        <v>#VALUE!</v>
      </c>
      <c r="E111" s="81"/>
      <c r="F111" s="217" t="e">
        <f ca="1">IF(F105&gt;0,INDEX(INDIRECT(F104),7,6),"")</f>
        <v>#VALUE!</v>
      </c>
      <c r="G111" s="55" t="e">
        <f t="shared" ca="1" si="78"/>
        <v>#VALUE!</v>
      </c>
      <c r="H111" s="55" t="e">
        <f t="shared" ca="1" si="79"/>
        <v>#VALUE!</v>
      </c>
      <c r="I111" s="83" t="e">
        <f t="shared" ca="1" si="80"/>
        <v>#VALUE!</v>
      </c>
      <c r="J111" s="81"/>
      <c r="K111" s="54" t="e">
        <f ca="1">IF(K105&gt;0,INDEX(INDIRECT(F104),7,11),"")</f>
        <v>#VALUE!</v>
      </c>
      <c r="L111" s="55" t="e">
        <f t="shared" ca="1" si="81"/>
        <v>#VALUE!</v>
      </c>
      <c r="M111" s="56" t="e">
        <f t="shared" ca="1" si="82"/>
        <v>#VALUE!</v>
      </c>
      <c r="N111" s="57"/>
    </row>
    <row r="112" spans="1:14" ht="15.75" thickBot="1" x14ac:dyDescent="0.3">
      <c r="A112" s="5"/>
      <c r="B112" s="5"/>
      <c r="C112" s="5"/>
      <c r="D112" s="6"/>
      <c r="F112" s="209"/>
      <c r="G112" s="5"/>
      <c r="H112" s="5"/>
      <c r="I112" s="6"/>
      <c r="K112" s="5"/>
      <c r="L112" s="5"/>
      <c r="M112" s="7"/>
      <c r="N112" s="6"/>
    </row>
    <row r="113" spans="1:14" ht="19.5" thickBot="1" x14ac:dyDescent="0.35">
      <c r="A113" s="206" t="e">
        <f>IF(RIGHT(A104,2)+1&lt;=$G$2,"День "&amp;RIGHT(A104,2)+1,"")</f>
        <v>#VALUE!</v>
      </c>
      <c r="B113" s="307">
        <f>B104+1</f>
        <v>42107</v>
      </c>
      <c r="C113" s="308"/>
      <c r="D113" s="6"/>
      <c r="F113" s="210" t="e">
        <f>IF(RIGHT(A113,1)+0=0,"День5",IF(RIGHT(A113,1)+0&gt;5,"День"&amp;RIGHT(A113,1)-5,"День"&amp;RIGHT(A113,1)))</f>
        <v>#VALUE!</v>
      </c>
      <c r="G113" s="5"/>
      <c r="H113" s="5"/>
      <c r="I113" s="6"/>
      <c r="K113" s="5"/>
      <c r="L113" s="5"/>
      <c r="M113" s="7"/>
      <c r="N113" s="6"/>
    </row>
    <row r="114" spans="1:14" ht="15.75" thickBot="1" x14ac:dyDescent="0.3">
      <c r="A114" s="10" t="s">
        <v>0</v>
      </c>
      <c r="B114" s="11"/>
      <c r="C114" s="11"/>
      <c r="D114" s="97"/>
      <c r="E114" s="96"/>
      <c r="F114" s="211" t="s">
        <v>10</v>
      </c>
      <c r="G114" s="11"/>
      <c r="H114" s="11"/>
      <c r="I114" s="97"/>
      <c r="J114" s="96"/>
      <c r="K114" s="10" t="s">
        <v>28</v>
      </c>
      <c r="L114" s="11"/>
      <c r="M114" s="12"/>
      <c r="N114" s="13"/>
    </row>
    <row r="115" spans="1:14" ht="30" x14ac:dyDescent="0.25">
      <c r="A115" s="14" t="e">
        <f ca="1">IF(A114&gt;0,INDEX(INDIRECT(F113),2,1),"")</f>
        <v>#VALUE!</v>
      </c>
      <c r="B115" s="15" t="e">
        <f t="shared" ref="B115:B120" ca="1" si="83">IF($A115&gt;0,INDEX(Продукты,MATCH($A115,INDEX(Продукты,,1),0),2),0)</f>
        <v>#VALUE!</v>
      </c>
      <c r="C115" s="15" t="e">
        <f t="shared" ref="C115:C120" ca="1" si="84">IF($A115&gt;0,INDEX(Продукты,MATCH($A115,INDEX(Продукты,,1),0),3),0)</f>
        <v>#VALUE!</v>
      </c>
      <c r="D115" s="17" t="e">
        <f t="shared" ref="D115:D120" ca="1" si="85">ROUND(C115*$B$2,0)</f>
        <v>#VALUE!</v>
      </c>
      <c r="E115" s="99"/>
      <c r="F115" s="212" t="e">
        <f ca="1">IF(F114&gt;0,INDEX(INDIRECT(F113),2,6),"")</f>
        <v>#VALUE!</v>
      </c>
      <c r="G115" s="15" t="e">
        <f t="shared" ref="G115:G120" ca="1" si="86">IF($F115&gt;0,INDEX(Продукты,MATCH($F115,INDEX(Продукты,,1),0),2),0)</f>
        <v>#VALUE!</v>
      </c>
      <c r="H115" s="15" t="e">
        <f t="shared" ref="H115:H120" ca="1" si="87">IF($F115&gt;0,INDEX(Продукты,MATCH($F115,INDEX(Продукты,,1),0),3),0)</f>
        <v>#VALUE!</v>
      </c>
      <c r="I115" s="98" t="e">
        <f t="shared" ref="I115:I120" ca="1" si="88">H115*$B$2</f>
        <v>#VALUE!</v>
      </c>
      <c r="J115" s="99"/>
      <c r="K115" s="14" t="e">
        <f ca="1">IF(K114&gt;0,INDEX(INDIRECT(F113),2,11),"")</f>
        <v>#VALUE!</v>
      </c>
      <c r="L115" s="15" t="e">
        <f t="shared" ref="L115:L120" ca="1" si="89">IF($K115&gt;0,INDEX(Продукты,MATCH($K115,INDEX(Продукты,,1),0),2),"")</f>
        <v>#VALUE!</v>
      </c>
      <c r="M115" s="16" t="e">
        <f t="shared" ref="M115:M120" ca="1" si="90">IF($K115&gt;0,INDEX(Продукты,MATCH($K115,INDEX(Продукты,,1),0),3),"")</f>
        <v>#VALUE!</v>
      </c>
      <c r="N115" s="17" t="e">
        <f ca="1">M115*$B$2</f>
        <v>#VALUE!</v>
      </c>
    </row>
    <row r="116" spans="1:14" x14ac:dyDescent="0.25">
      <c r="A116" s="18" t="e">
        <f ca="1">IF(A114&gt;0,INDEX(INDIRECT(F113),3,1),"")</f>
        <v>#VALUE!</v>
      </c>
      <c r="B116" s="19" t="e">
        <f t="shared" ca="1" si="83"/>
        <v>#VALUE!</v>
      </c>
      <c r="C116" s="19" t="e">
        <f t="shared" ca="1" si="84"/>
        <v>#VALUE!</v>
      </c>
      <c r="D116" s="21" t="e">
        <f t="shared" ca="1" si="85"/>
        <v>#VALUE!</v>
      </c>
      <c r="E116" s="99"/>
      <c r="F116" s="213" t="e">
        <f ca="1">IF(F114&gt;0,INDEX(INDIRECT(F113),3,6),"")</f>
        <v>#VALUE!</v>
      </c>
      <c r="G116" s="19" t="e">
        <f t="shared" ca="1" si="86"/>
        <v>#VALUE!</v>
      </c>
      <c r="H116" s="19" t="e">
        <f t="shared" ca="1" si="87"/>
        <v>#VALUE!</v>
      </c>
      <c r="I116" s="102" t="e">
        <f t="shared" ca="1" si="88"/>
        <v>#VALUE!</v>
      </c>
      <c r="J116" s="99"/>
      <c r="K116" s="18" t="e">
        <f ca="1">IF(K114&gt;0,INDEX(INDIRECT(F113),3,11),"")</f>
        <v>#VALUE!</v>
      </c>
      <c r="L116" s="19" t="e">
        <f t="shared" ca="1" si="89"/>
        <v>#VALUE!</v>
      </c>
      <c r="M116" s="20" t="e">
        <f t="shared" ca="1" si="90"/>
        <v>#VALUE!</v>
      </c>
      <c r="N116" s="21" t="e">
        <f ca="1">M116*$B$2</f>
        <v>#VALUE!</v>
      </c>
    </row>
    <row r="117" spans="1:14" x14ac:dyDescent="0.25">
      <c r="A117" s="18" t="e">
        <f ca="1">IF(A114&gt;0,INDEX(INDIRECT(F113),4,1),"")</f>
        <v>#VALUE!</v>
      </c>
      <c r="B117" s="19" t="e">
        <f t="shared" ca="1" si="83"/>
        <v>#VALUE!</v>
      </c>
      <c r="C117" s="19" t="e">
        <f t="shared" ca="1" si="84"/>
        <v>#VALUE!</v>
      </c>
      <c r="D117" s="21" t="e">
        <f t="shared" ca="1" si="85"/>
        <v>#VALUE!</v>
      </c>
      <c r="E117" s="99"/>
      <c r="F117" s="213" t="e">
        <f ca="1">IF(F114&gt;0,INDEX(INDIRECT(F113),4,6),"")</f>
        <v>#VALUE!</v>
      </c>
      <c r="G117" s="19" t="e">
        <f t="shared" ca="1" si="86"/>
        <v>#VALUE!</v>
      </c>
      <c r="H117" s="19" t="e">
        <f t="shared" ca="1" si="87"/>
        <v>#VALUE!</v>
      </c>
      <c r="I117" s="102" t="e">
        <f t="shared" ca="1" si="88"/>
        <v>#VALUE!</v>
      </c>
      <c r="J117" s="99"/>
      <c r="K117" s="18" t="e">
        <f ca="1">IF(K114&gt;0,INDEX(INDIRECT(F113),4,11),"")</f>
        <v>#VALUE!</v>
      </c>
      <c r="L117" s="19" t="e">
        <f t="shared" ca="1" si="89"/>
        <v>#VALUE!</v>
      </c>
      <c r="M117" s="174" t="e">
        <f t="shared" ca="1" si="90"/>
        <v>#VALUE!</v>
      </c>
      <c r="N117" s="21" t="e">
        <f ca="1">M117*$B$2</f>
        <v>#VALUE!</v>
      </c>
    </row>
    <row r="118" spans="1:14" x14ac:dyDescent="0.25">
      <c r="A118" s="18" t="e">
        <f ca="1">IF(A114&gt;0,INDEX(INDIRECT(F113),5,1),"")</f>
        <v>#VALUE!</v>
      </c>
      <c r="B118" s="19" t="e">
        <f t="shared" ca="1" si="83"/>
        <v>#VALUE!</v>
      </c>
      <c r="C118" s="19" t="e">
        <f t="shared" ca="1" si="84"/>
        <v>#VALUE!</v>
      </c>
      <c r="D118" s="21" t="e">
        <f t="shared" ca="1" si="85"/>
        <v>#VALUE!</v>
      </c>
      <c r="E118" s="99"/>
      <c r="F118" s="213" t="e">
        <f ca="1">IF(F114&gt;0,INDEX(INDIRECT(F113),5,6),"")</f>
        <v>#VALUE!</v>
      </c>
      <c r="G118" s="19" t="e">
        <f t="shared" ca="1" si="86"/>
        <v>#VALUE!</v>
      </c>
      <c r="H118" s="19" t="e">
        <f t="shared" ca="1" si="87"/>
        <v>#VALUE!</v>
      </c>
      <c r="I118" s="102" t="e">
        <f t="shared" ca="1" si="88"/>
        <v>#VALUE!</v>
      </c>
      <c r="J118" s="99"/>
      <c r="K118" s="18" t="e">
        <f ca="1">IF(K114&gt;0,INDEX(INDIRECT(F113),5,11),"")</f>
        <v>#VALUE!</v>
      </c>
      <c r="L118" s="19" t="e">
        <f t="shared" ca="1" si="89"/>
        <v>#VALUE!</v>
      </c>
      <c r="M118" s="202" t="e">
        <f t="shared" ca="1" si="90"/>
        <v>#VALUE!</v>
      </c>
      <c r="N118" s="21" t="e">
        <f ca="1">M118*$B$2</f>
        <v>#VALUE!</v>
      </c>
    </row>
    <row r="119" spans="1:14" x14ac:dyDescent="0.25">
      <c r="A119" s="18" t="e">
        <f ca="1">IF(A114&gt;0,INDEX(INDIRECT(F113),6,1),"")</f>
        <v>#VALUE!</v>
      </c>
      <c r="B119" s="19" t="e">
        <f t="shared" ca="1" si="83"/>
        <v>#VALUE!</v>
      </c>
      <c r="C119" s="19" t="e">
        <f t="shared" ca="1" si="84"/>
        <v>#VALUE!</v>
      </c>
      <c r="D119" s="21" t="e">
        <f t="shared" ca="1" si="85"/>
        <v>#VALUE!</v>
      </c>
      <c r="E119" s="99"/>
      <c r="F119" s="213" t="e">
        <f ca="1">IF(F114&gt;0,INDEX(INDIRECT(F113),6,6),"")</f>
        <v>#VALUE!</v>
      </c>
      <c r="G119" s="19" t="e">
        <f t="shared" ca="1" si="86"/>
        <v>#VALUE!</v>
      </c>
      <c r="H119" s="19" t="e">
        <f t="shared" ca="1" si="87"/>
        <v>#VALUE!</v>
      </c>
      <c r="I119" s="102" t="e">
        <f t="shared" ca="1" si="88"/>
        <v>#VALUE!</v>
      </c>
      <c r="J119" s="99"/>
      <c r="K119" s="18" t="e">
        <f ca="1">IF(K114&gt;0,INDEX(INDIRECT(F113),6,11),"")</f>
        <v>#VALUE!</v>
      </c>
      <c r="L119" s="19" t="e">
        <f t="shared" ca="1" si="89"/>
        <v>#VALUE!</v>
      </c>
      <c r="M119" s="20" t="e">
        <f t="shared" ca="1" si="90"/>
        <v>#VALUE!</v>
      </c>
      <c r="N119" s="21"/>
    </row>
    <row r="120" spans="1:14" s="5" customFormat="1" ht="15.75" thickBot="1" x14ac:dyDescent="0.3">
      <c r="A120" s="22" t="e">
        <f ca="1">IF(A114&gt;0,INDEX(INDIRECT(F113),7,1),"")</f>
        <v>#VALUE!</v>
      </c>
      <c r="B120" s="23" t="e">
        <f t="shared" ca="1" si="83"/>
        <v>#VALUE!</v>
      </c>
      <c r="C120" s="23" t="e">
        <f t="shared" ca="1" si="84"/>
        <v>#VALUE!</v>
      </c>
      <c r="D120" s="25" t="e">
        <f t="shared" ca="1" si="85"/>
        <v>#VALUE!</v>
      </c>
      <c r="E120" s="106"/>
      <c r="F120" s="214" t="e">
        <f ca="1">IF(F114&gt;0,INDEX(INDIRECT(F113),7,6),"")</f>
        <v>#VALUE!</v>
      </c>
      <c r="G120" s="23" t="e">
        <f t="shared" ca="1" si="86"/>
        <v>#VALUE!</v>
      </c>
      <c r="H120" s="23" t="e">
        <f t="shared" ca="1" si="87"/>
        <v>#VALUE!</v>
      </c>
      <c r="I120" s="105" t="e">
        <f t="shared" ca="1" si="88"/>
        <v>#VALUE!</v>
      </c>
      <c r="J120" s="106"/>
      <c r="K120" s="22" t="e">
        <f ca="1">IF(K114&gt;0,INDEX(INDIRECT(F113),7,11),"")</f>
        <v>#VALUE!</v>
      </c>
      <c r="L120" s="23" t="e">
        <f t="shared" ca="1" si="89"/>
        <v>#VALUE!</v>
      </c>
      <c r="M120" s="24" t="e">
        <f t="shared" ca="1" si="90"/>
        <v>#VALUE!</v>
      </c>
      <c r="N120" s="25"/>
    </row>
    <row r="121" spans="1:14" s="5" customFormat="1" ht="15.75" thickBot="1" x14ac:dyDescent="0.3">
      <c r="D121" s="6"/>
      <c r="F121" s="209"/>
      <c r="I121" s="6"/>
      <c r="M121" s="7"/>
      <c r="N121" s="6"/>
    </row>
    <row r="122" spans="1:14" ht="19.5" thickBot="1" x14ac:dyDescent="0.35">
      <c r="A122" s="206" t="e">
        <f>IF(RIGHT(A113,2)+1&lt;=$G$2,"День "&amp;RIGHT(A113,2)+1,"")</f>
        <v>#VALUE!</v>
      </c>
      <c r="B122" s="307">
        <f>B113+1</f>
        <v>42108</v>
      </c>
      <c r="C122" s="308"/>
      <c r="D122" s="6"/>
      <c r="F122" s="210" t="e">
        <f>IF(RIGHT(A122,1)+0=0,"День5",IF(RIGHT(A122,1)+0&gt;5,"День"&amp;RIGHT(A122,1)-5,"День"&amp;RIGHT(A122,1)))</f>
        <v>#VALUE!</v>
      </c>
      <c r="G122" s="5"/>
      <c r="H122" s="5"/>
      <c r="I122" s="6"/>
      <c r="K122" s="5"/>
      <c r="L122" s="5"/>
      <c r="M122" s="7"/>
      <c r="N122" s="6"/>
    </row>
    <row r="123" spans="1:14" ht="15.75" thickBot="1" x14ac:dyDescent="0.3">
      <c r="A123" s="26" t="s">
        <v>0</v>
      </c>
      <c r="B123" s="27"/>
      <c r="C123" s="27"/>
      <c r="D123" s="109"/>
      <c r="E123" s="108"/>
      <c r="F123" s="220" t="s">
        <v>10</v>
      </c>
      <c r="G123" s="27"/>
      <c r="H123" s="27"/>
      <c r="I123" s="109"/>
      <c r="J123" s="108"/>
      <c r="K123" s="26" t="s">
        <v>28</v>
      </c>
      <c r="L123" s="27"/>
      <c r="M123" s="28"/>
      <c r="N123" s="29"/>
    </row>
    <row r="124" spans="1:14" ht="30" x14ac:dyDescent="0.25">
      <c r="A124" s="30" t="e">
        <f ca="1">IF(A123&gt;0,INDEX(INDIRECT(F122),2,1),"")</f>
        <v>#VALUE!</v>
      </c>
      <c r="B124" s="31" t="e">
        <f t="shared" ref="B124:B129" ca="1" si="91">IF($A124&gt;0,INDEX(Продукты,MATCH($A124,INDEX(Продукты,,1),0),2),0)</f>
        <v>#VALUE!</v>
      </c>
      <c r="C124" s="31" t="e">
        <f t="shared" ref="C124:C129" ca="1" si="92">IF($A124&gt;0,INDEX(Продукты,MATCH($A124,INDEX(Продукты,,1),0),3),0)</f>
        <v>#VALUE!</v>
      </c>
      <c r="D124" s="33" t="e">
        <f t="shared" ref="D124:D129" ca="1" si="93">ROUND(C124*$B$2,0)</f>
        <v>#VALUE!</v>
      </c>
      <c r="E124" s="111"/>
      <c r="F124" s="230" t="e">
        <f ca="1">IF(F123&gt;0,INDEX(INDIRECT(F122),2,6),"")</f>
        <v>#VALUE!</v>
      </c>
      <c r="G124" s="31" t="e">
        <f t="shared" ref="G124:G129" ca="1" si="94">IF($F124&gt;0,INDEX(Продукты,MATCH($F124,INDEX(Продукты,,1),0),2),0)</f>
        <v>#VALUE!</v>
      </c>
      <c r="H124" s="31" t="e">
        <f t="shared" ref="H124:H129" ca="1" si="95">IF($F124&gt;0,INDEX(Продукты,MATCH($F124,INDEX(Продукты,,1),0),3),0)</f>
        <v>#VALUE!</v>
      </c>
      <c r="I124" s="110" t="e">
        <f t="shared" ref="I124:I129" ca="1" si="96">H124*$B$2</f>
        <v>#VALUE!</v>
      </c>
      <c r="J124" s="111"/>
      <c r="K124" s="30" t="e">
        <f ca="1">IF(K123&gt;0,INDEX(INDIRECT(F122),2,11),"")</f>
        <v>#VALUE!</v>
      </c>
      <c r="L124" s="31" t="e">
        <f t="shared" ref="L124:L129" ca="1" si="97">IF($K124&gt;0,INDEX(Продукты,MATCH($K124,INDEX(Продукты,,1),0),2),"")</f>
        <v>#VALUE!</v>
      </c>
      <c r="M124" s="32" t="e">
        <f t="shared" ref="M124:M129" ca="1" si="98">IF($K124&gt;0,INDEX(Продукты,MATCH($K124,INDEX(Продукты,,1),0),3),"")</f>
        <v>#VALUE!</v>
      </c>
      <c r="N124" s="33" t="e">
        <f ca="1">M124*$B$2</f>
        <v>#VALUE!</v>
      </c>
    </row>
    <row r="125" spans="1:14" x14ac:dyDescent="0.25">
      <c r="A125" s="34" t="e">
        <f ca="1">IF(A123&gt;0,INDEX(INDIRECT(F122),3,1),"")</f>
        <v>#VALUE!</v>
      </c>
      <c r="B125" s="35" t="e">
        <f t="shared" ca="1" si="91"/>
        <v>#VALUE!</v>
      </c>
      <c r="C125" s="35" t="e">
        <f t="shared" ca="1" si="92"/>
        <v>#VALUE!</v>
      </c>
      <c r="D125" s="37" t="e">
        <f t="shared" ca="1" si="93"/>
        <v>#VALUE!</v>
      </c>
      <c r="E125" s="111"/>
      <c r="F125" s="231" t="e">
        <f ca="1">IF(F123&gt;0,INDEX(INDIRECT(F122),3,6),"")</f>
        <v>#VALUE!</v>
      </c>
      <c r="G125" s="35" t="e">
        <f t="shared" ca="1" si="94"/>
        <v>#VALUE!</v>
      </c>
      <c r="H125" s="35" t="e">
        <f t="shared" ca="1" si="95"/>
        <v>#VALUE!</v>
      </c>
      <c r="I125" s="114" t="e">
        <f t="shared" ca="1" si="96"/>
        <v>#VALUE!</v>
      </c>
      <c r="J125" s="111"/>
      <c r="K125" s="34" t="e">
        <f ca="1">IF(K123&gt;0,INDEX(INDIRECT(F122),3,11),"")</f>
        <v>#VALUE!</v>
      </c>
      <c r="L125" s="35" t="e">
        <f t="shared" ca="1" si="97"/>
        <v>#VALUE!</v>
      </c>
      <c r="M125" s="36" t="e">
        <f t="shared" ca="1" si="98"/>
        <v>#VALUE!</v>
      </c>
      <c r="N125" s="37" t="e">
        <f ca="1">M125*$B$2</f>
        <v>#VALUE!</v>
      </c>
    </row>
    <row r="126" spans="1:14" x14ac:dyDescent="0.25">
      <c r="A126" s="34" t="e">
        <f ca="1">IF(A123&gt;0,INDEX(INDIRECT(F122),4,1),"")</f>
        <v>#VALUE!</v>
      </c>
      <c r="B126" s="35" t="e">
        <f t="shared" ca="1" si="91"/>
        <v>#VALUE!</v>
      </c>
      <c r="C126" s="35" t="e">
        <f t="shared" ca="1" si="92"/>
        <v>#VALUE!</v>
      </c>
      <c r="D126" s="37" t="e">
        <f t="shared" ca="1" si="93"/>
        <v>#VALUE!</v>
      </c>
      <c r="E126" s="111"/>
      <c r="F126" s="231" t="e">
        <f ca="1">IF(F123&gt;0,INDEX(INDIRECT(F122),4,6),"")</f>
        <v>#VALUE!</v>
      </c>
      <c r="G126" s="35" t="e">
        <f t="shared" ca="1" si="94"/>
        <v>#VALUE!</v>
      </c>
      <c r="H126" s="35" t="e">
        <f t="shared" ca="1" si="95"/>
        <v>#VALUE!</v>
      </c>
      <c r="I126" s="114" t="e">
        <f t="shared" ca="1" si="96"/>
        <v>#VALUE!</v>
      </c>
      <c r="J126" s="111"/>
      <c r="K126" s="34" t="e">
        <f ca="1">IF(K123&gt;0,INDEX(INDIRECT(F122),4,11),"")</f>
        <v>#VALUE!</v>
      </c>
      <c r="L126" s="35" t="e">
        <f t="shared" ca="1" si="97"/>
        <v>#VALUE!</v>
      </c>
      <c r="M126" s="175" t="e">
        <f t="shared" ca="1" si="98"/>
        <v>#VALUE!</v>
      </c>
      <c r="N126" s="37" t="e">
        <f ca="1">M126*$B$2</f>
        <v>#VALUE!</v>
      </c>
    </row>
    <row r="127" spans="1:14" x14ac:dyDescent="0.25">
      <c r="A127" s="34" t="e">
        <f ca="1">IF(A123&gt;0,INDEX(INDIRECT(F122),5,1),"")</f>
        <v>#VALUE!</v>
      </c>
      <c r="B127" s="35" t="e">
        <f t="shared" ca="1" si="91"/>
        <v>#VALUE!</v>
      </c>
      <c r="C127" s="35" t="e">
        <f t="shared" ca="1" si="92"/>
        <v>#VALUE!</v>
      </c>
      <c r="D127" s="37" t="e">
        <f t="shared" ca="1" si="93"/>
        <v>#VALUE!</v>
      </c>
      <c r="E127" s="111"/>
      <c r="F127" s="231" t="e">
        <f ca="1">IF(F123&gt;0,INDEX(INDIRECT(F122),5,6),"")</f>
        <v>#VALUE!</v>
      </c>
      <c r="G127" s="35" t="e">
        <f t="shared" ca="1" si="94"/>
        <v>#VALUE!</v>
      </c>
      <c r="H127" s="35" t="e">
        <f t="shared" ca="1" si="95"/>
        <v>#VALUE!</v>
      </c>
      <c r="I127" s="114" t="e">
        <f t="shared" ca="1" si="96"/>
        <v>#VALUE!</v>
      </c>
      <c r="J127" s="111"/>
      <c r="K127" s="34" t="e">
        <f ca="1">IF(K123&gt;0,INDEX(INDIRECT(F122),5,11),"")</f>
        <v>#VALUE!</v>
      </c>
      <c r="L127" s="35" t="e">
        <f t="shared" ca="1" si="97"/>
        <v>#VALUE!</v>
      </c>
      <c r="M127" s="203" t="e">
        <f t="shared" ca="1" si="98"/>
        <v>#VALUE!</v>
      </c>
      <c r="N127" s="37" t="e">
        <f ca="1">M127*$B$2</f>
        <v>#VALUE!</v>
      </c>
    </row>
    <row r="128" spans="1:14" x14ac:dyDescent="0.25">
      <c r="A128" s="34" t="e">
        <f ca="1">IF(A123&gt;0,INDEX(INDIRECT(F122),6,1),"")</f>
        <v>#VALUE!</v>
      </c>
      <c r="B128" s="35" t="e">
        <f t="shared" ca="1" si="91"/>
        <v>#VALUE!</v>
      </c>
      <c r="C128" s="35" t="e">
        <f t="shared" ca="1" si="92"/>
        <v>#VALUE!</v>
      </c>
      <c r="D128" s="37" t="e">
        <f t="shared" ca="1" si="93"/>
        <v>#VALUE!</v>
      </c>
      <c r="E128" s="111"/>
      <c r="F128" s="231" t="e">
        <f ca="1">IF(F123&gt;0,INDEX(INDIRECT(F122),6,6),"")</f>
        <v>#VALUE!</v>
      </c>
      <c r="G128" s="35" t="e">
        <f t="shared" ca="1" si="94"/>
        <v>#VALUE!</v>
      </c>
      <c r="H128" s="35" t="e">
        <f t="shared" ca="1" si="95"/>
        <v>#VALUE!</v>
      </c>
      <c r="I128" s="114" t="e">
        <f t="shared" ca="1" si="96"/>
        <v>#VALUE!</v>
      </c>
      <c r="J128" s="111"/>
      <c r="K128" s="34" t="e">
        <f ca="1">IF(K123&gt;0,INDEX(INDIRECT(F122),6,11),"")</f>
        <v>#VALUE!</v>
      </c>
      <c r="L128" s="35" t="e">
        <f t="shared" ca="1" si="97"/>
        <v>#VALUE!</v>
      </c>
      <c r="M128" s="36" t="e">
        <f t="shared" ca="1" si="98"/>
        <v>#VALUE!</v>
      </c>
      <c r="N128" s="37"/>
    </row>
    <row r="129" spans="1:14" s="5" customFormat="1" ht="15.75" thickBot="1" x14ac:dyDescent="0.3">
      <c r="A129" s="38" t="e">
        <f ca="1">IF(A123&gt;0,INDEX(INDIRECT(F122),7,1),"")</f>
        <v>#VALUE!</v>
      </c>
      <c r="B129" s="39" t="e">
        <f t="shared" ca="1" si="91"/>
        <v>#VALUE!</v>
      </c>
      <c r="C129" s="39" t="e">
        <f t="shared" ca="1" si="92"/>
        <v>#VALUE!</v>
      </c>
      <c r="D129" s="41" t="e">
        <f t="shared" ca="1" si="93"/>
        <v>#VALUE!</v>
      </c>
      <c r="E129" s="117"/>
      <c r="F129" s="232" t="e">
        <f ca="1">IF(F123&gt;0,INDEX(INDIRECT(F122),7,6),"")</f>
        <v>#VALUE!</v>
      </c>
      <c r="G129" s="39" t="e">
        <f t="shared" ca="1" si="94"/>
        <v>#VALUE!</v>
      </c>
      <c r="H129" s="39" t="e">
        <f t="shared" ca="1" si="95"/>
        <v>#VALUE!</v>
      </c>
      <c r="I129" s="116" t="e">
        <f t="shared" ca="1" si="96"/>
        <v>#VALUE!</v>
      </c>
      <c r="J129" s="117"/>
      <c r="K129" s="38" t="e">
        <f ca="1">IF(K123&gt;0,INDEX(INDIRECT(F122),7,11),"")</f>
        <v>#VALUE!</v>
      </c>
      <c r="L129" s="39" t="e">
        <f t="shared" ca="1" si="97"/>
        <v>#VALUE!</v>
      </c>
      <c r="M129" s="40" t="e">
        <f t="shared" ca="1" si="98"/>
        <v>#VALUE!</v>
      </c>
      <c r="N129" s="41"/>
    </row>
    <row r="130" spans="1:14" s="5" customFormat="1" ht="15.75" thickBot="1" x14ac:dyDescent="0.3">
      <c r="D130" s="6"/>
      <c r="F130" s="209"/>
      <c r="I130" s="6"/>
      <c r="M130" s="7"/>
      <c r="N130" s="6"/>
    </row>
    <row r="131" spans="1:14" ht="19.5" thickBot="1" x14ac:dyDescent="0.35">
      <c r="A131" s="206" t="e">
        <f>IF(RIGHT(A122,2)+1&lt;=$G$2,"День "&amp;RIGHT(A122,2)+1,"")</f>
        <v>#VALUE!</v>
      </c>
      <c r="B131" s="307">
        <f>B122+1</f>
        <v>42109</v>
      </c>
      <c r="C131" s="308"/>
      <c r="D131" s="5"/>
      <c r="F131" s="210" t="e">
        <f>IF(RIGHT(A131,1)+0=0,"День5",IF(RIGHT(A131,1)+0&gt;5,"День"&amp;RIGHT(A131,1)-5,"День"&amp;RIGHT(A131,1)))</f>
        <v>#VALUE!</v>
      </c>
      <c r="G131" s="5"/>
      <c r="H131" s="5"/>
      <c r="I131" s="5"/>
      <c r="K131" s="5"/>
      <c r="L131" s="5"/>
      <c r="M131" s="7"/>
      <c r="N131" s="6"/>
    </row>
    <row r="132" spans="1:14" ht="15.75" thickBot="1" x14ac:dyDescent="0.3">
      <c r="A132" s="58" t="s">
        <v>0</v>
      </c>
      <c r="B132" s="59"/>
      <c r="C132" s="59"/>
      <c r="D132" s="85"/>
      <c r="E132" s="84"/>
      <c r="F132" s="222" t="s">
        <v>10</v>
      </c>
      <c r="G132" s="59"/>
      <c r="H132" s="59"/>
      <c r="I132" s="85"/>
      <c r="J132" s="84"/>
      <c r="K132" s="58" t="s">
        <v>28</v>
      </c>
      <c r="L132" s="59"/>
      <c r="M132" s="60"/>
      <c r="N132" s="61"/>
    </row>
    <row r="133" spans="1:14" ht="30" x14ac:dyDescent="0.25">
      <c r="A133" s="62" t="e">
        <f ca="1">IF(A132&gt;0,INDEX(INDIRECT(F131),2,1),"")</f>
        <v>#VALUE!</v>
      </c>
      <c r="B133" s="63" t="e">
        <f t="shared" ref="B133:B138" ca="1" si="99">IF($A133&gt;0,INDEX(Продукты,MATCH($A133,INDEX(Продукты,,1),0),2),0)</f>
        <v>#VALUE!</v>
      </c>
      <c r="C133" s="63" t="e">
        <f t="shared" ref="C133:C138" ca="1" si="100">IF($A133&gt;0,INDEX(Продукты,MATCH($A133,INDEX(Продукты,,1),0),3),0)</f>
        <v>#VALUE!</v>
      </c>
      <c r="D133" s="65" t="e">
        <f t="shared" ref="D133:D138" ca="1" si="101">ROUND(C133*$B$2,0)</f>
        <v>#VALUE!</v>
      </c>
      <c r="E133" s="87"/>
      <c r="F133" s="223" t="e">
        <f ca="1">IF(F132&gt;0,INDEX(INDIRECT(F131),2,6),"")</f>
        <v>#VALUE!</v>
      </c>
      <c r="G133" s="63" t="e">
        <f t="shared" ref="G133:G138" ca="1" si="102">IF($F133&gt;0,INDEX(Продукты,MATCH($F133,INDEX(Продукты,,1),0),2),0)</f>
        <v>#VALUE!</v>
      </c>
      <c r="H133" s="63" t="e">
        <f t="shared" ref="H133:H138" ca="1" si="103">IF($F133&gt;0,INDEX(Продукты,MATCH($F133,INDEX(Продукты,,1),0),3),0)</f>
        <v>#VALUE!</v>
      </c>
      <c r="I133" s="86" t="e">
        <f t="shared" ref="I133:I138" ca="1" si="104">H133*$B$2</f>
        <v>#VALUE!</v>
      </c>
      <c r="J133" s="87"/>
      <c r="K133" s="62" t="e">
        <f ca="1">IF(K132&gt;0,INDEX(INDIRECT(F131),2,11),"")</f>
        <v>#VALUE!</v>
      </c>
      <c r="L133" s="63" t="e">
        <f t="shared" ref="L133:L138" ca="1" si="105">IF($K133&gt;0,INDEX(Продукты,MATCH($K133,INDEX(Продукты,,1),0),2),"")</f>
        <v>#VALUE!</v>
      </c>
      <c r="M133" s="64" t="e">
        <f t="shared" ref="M133:M138" ca="1" si="106">IF($K133&gt;0,INDEX(Продукты,MATCH($K133,INDEX(Продукты,,1),0),3),"")</f>
        <v>#VALUE!</v>
      </c>
      <c r="N133" s="65" t="e">
        <f ca="1">M133*$B$2</f>
        <v>#VALUE!</v>
      </c>
    </row>
    <row r="134" spans="1:14" x14ac:dyDescent="0.25">
      <c r="A134" s="66" t="e">
        <f ca="1">IF(A132&gt;0,INDEX(INDIRECT(F131),3,1),"")</f>
        <v>#VALUE!</v>
      </c>
      <c r="B134" s="67" t="e">
        <f t="shared" ca="1" si="99"/>
        <v>#VALUE!</v>
      </c>
      <c r="C134" s="67" t="e">
        <f t="shared" ca="1" si="100"/>
        <v>#VALUE!</v>
      </c>
      <c r="D134" s="69" t="e">
        <f t="shared" ca="1" si="101"/>
        <v>#VALUE!</v>
      </c>
      <c r="E134" s="87"/>
      <c r="F134" s="224" t="e">
        <f ca="1">IF(F132&gt;0,INDEX(INDIRECT(F131),3,6),"")</f>
        <v>#VALUE!</v>
      </c>
      <c r="G134" s="67" t="e">
        <f t="shared" ca="1" si="102"/>
        <v>#VALUE!</v>
      </c>
      <c r="H134" s="67" t="e">
        <f t="shared" ca="1" si="103"/>
        <v>#VALUE!</v>
      </c>
      <c r="I134" s="90" t="e">
        <f t="shared" ca="1" si="104"/>
        <v>#VALUE!</v>
      </c>
      <c r="J134" s="87"/>
      <c r="K134" s="66" t="e">
        <f ca="1">IF(K132&gt;0,INDEX(INDIRECT(F131),3,11),"")</f>
        <v>#VALUE!</v>
      </c>
      <c r="L134" s="67" t="e">
        <f t="shared" ca="1" si="105"/>
        <v>#VALUE!</v>
      </c>
      <c r="M134" s="68" t="e">
        <f t="shared" ca="1" si="106"/>
        <v>#VALUE!</v>
      </c>
      <c r="N134" s="69" t="e">
        <f ca="1">M134*$B$2</f>
        <v>#VALUE!</v>
      </c>
    </row>
    <row r="135" spans="1:14" x14ac:dyDescent="0.25">
      <c r="A135" s="66" t="e">
        <f ca="1">IF(A132&gt;0,INDEX(INDIRECT(F131),4,1),"")</f>
        <v>#VALUE!</v>
      </c>
      <c r="B135" s="67" t="e">
        <f t="shared" ca="1" si="99"/>
        <v>#VALUE!</v>
      </c>
      <c r="C135" s="67" t="e">
        <f t="shared" ca="1" si="100"/>
        <v>#VALUE!</v>
      </c>
      <c r="D135" s="69" t="e">
        <f t="shared" ca="1" si="101"/>
        <v>#VALUE!</v>
      </c>
      <c r="E135" s="87"/>
      <c r="F135" s="224" t="e">
        <f ca="1">IF(F132&gt;0,INDEX(INDIRECT(F131),4,6),"")</f>
        <v>#VALUE!</v>
      </c>
      <c r="G135" s="67" t="e">
        <f t="shared" ca="1" si="102"/>
        <v>#VALUE!</v>
      </c>
      <c r="H135" s="67" t="e">
        <f t="shared" ca="1" si="103"/>
        <v>#VALUE!</v>
      </c>
      <c r="I135" s="90" t="e">
        <f t="shared" ca="1" si="104"/>
        <v>#VALUE!</v>
      </c>
      <c r="J135" s="87"/>
      <c r="K135" s="66" t="e">
        <f ca="1">IF(K132&gt;0,INDEX(INDIRECT(F131),4,11),"")</f>
        <v>#VALUE!</v>
      </c>
      <c r="L135" s="67" t="e">
        <f t="shared" ca="1" si="105"/>
        <v>#VALUE!</v>
      </c>
      <c r="M135" s="176" t="e">
        <f t="shared" ca="1" si="106"/>
        <v>#VALUE!</v>
      </c>
      <c r="N135" s="69" t="e">
        <f ca="1">M135*$B$2</f>
        <v>#VALUE!</v>
      </c>
    </row>
    <row r="136" spans="1:14" x14ac:dyDescent="0.25">
      <c r="A136" s="66" t="e">
        <f ca="1">IF(A132&gt;0,INDEX(INDIRECT(F131),5,1),"")</f>
        <v>#VALUE!</v>
      </c>
      <c r="B136" s="67" t="e">
        <f t="shared" ca="1" si="99"/>
        <v>#VALUE!</v>
      </c>
      <c r="C136" s="67" t="e">
        <f t="shared" ca="1" si="100"/>
        <v>#VALUE!</v>
      </c>
      <c r="D136" s="69" t="e">
        <f t="shared" ca="1" si="101"/>
        <v>#VALUE!</v>
      </c>
      <c r="E136" s="87"/>
      <c r="F136" s="224" t="e">
        <f ca="1">IF(F132&gt;0,INDEX(INDIRECT(F131),5,6),"")</f>
        <v>#VALUE!</v>
      </c>
      <c r="G136" s="67" t="e">
        <f t="shared" ca="1" si="102"/>
        <v>#VALUE!</v>
      </c>
      <c r="H136" s="67" t="e">
        <f t="shared" ca="1" si="103"/>
        <v>#VALUE!</v>
      </c>
      <c r="I136" s="90" t="e">
        <f t="shared" ca="1" si="104"/>
        <v>#VALUE!</v>
      </c>
      <c r="J136" s="87"/>
      <c r="K136" s="66" t="e">
        <f ca="1">IF(K132&gt;0,INDEX(INDIRECT(F131),5,11),"")</f>
        <v>#VALUE!</v>
      </c>
      <c r="L136" s="67" t="e">
        <f t="shared" ca="1" si="105"/>
        <v>#VALUE!</v>
      </c>
      <c r="M136" s="204" t="e">
        <f t="shared" ca="1" si="106"/>
        <v>#VALUE!</v>
      </c>
      <c r="N136" s="69" t="e">
        <f ca="1">M136*$B$2</f>
        <v>#VALUE!</v>
      </c>
    </row>
    <row r="137" spans="1:14" x14ac:dyDescent="0.25">
      <c r="A137" s="66" t="e">
        <f ca="1">IF(A132&gt;0,INDEX(INDIRECT(F131),6,1),"")</f>
        <v>#VALUE!</v>
      </c>
      <c r="B137" s="67" t="e">
        <f t="shared" ca="1" si="99"/>
        <v>#VALUE!</v>
      </c>
      <c r="C137" s="67" t="e">
        <f t="shared" ca="1" si="100"/>
        <v>#VALUE!</v>
      </c>
      <c r="D137" s="69" t="e">
        <f t="shared" ca="1" si="101"/>
        <v>#VALUE!</v>
      </c>
      <c r="E137" s="87"/>
      <c r="F137" s="224" t="e">
        <f ca="1">IF(F132&gt;0,INDEX(INDIRECT(F131),6,6),"")</f>
        <v>#VALUE!</v>
      </c>
      <c r="G137" s="67" t="e">
        <f t="shared" ca="1" si="102"/>
        <v>#VALUE!</v>
      </c>
      <c r="H137" s="67" t="e">
        <f t="shared" ca="1" si="103"/>
        <v>#VALUE!</v>
      </c>
      <c r="I137" s="90" t="e">
        <f t="shared" ca="1" si="104"/>
        <v>#VALUE!</v>
      </c>
      <c r="J137" s="87"/>
      <c r="K137" s="66" t="e">
        <f ca="1">IF(K132&gt;0,INDEX(INDIRECT(F131),6,11),"")</f>
        <v>#VALUE!</v>
      </c>
      <c r="L137" s="67" t="e">
        <f t="shared" ca="1" si="105"/>
        <v>#VALUE!</v>
      </c>
      <c r="M137" s="68" t="e">
        <f t="shared" ca="1" si="106"/>
        <v>#VALUE!</v>
      </c>
      <c r="N137" s="69"/>
    </row>
    <row r="138" spans="1:14" s="5" customFormat="1" ht="15.75" thickBot="1" x14ac:dyDescent="0.3">
      <c r="A138" s="70" t="e">
        <f ca="1">IF(A132&gt;0,INDEX(INDIRECT(F131),7,1),"")</f>
        <v>#VALUE!</v>
      </c>
      <c r="B138" s="71" t="e">
        <f t="shared" ca="1" si="99"/>
        <v>#VALUE!</v>
      </c>
      <c r="C138" s="71" t="e">
        <f t="shared" ca="1" si="100"/>
        <v>#VALUE!</v>
      </c>
      <c r="D138" s="73" t="e">
        <f t="shared" ca="1" si="101"/>
        <v>#VALUE!</v>
      </c>
      <c r="E138" s="94"/>
      <c r="F138" s="225" t="e">
        <f ca="1">IF(F132&gt;0,INDEX(INDIRECT(F131),7,6),"")</f>
        <v>#VALUE!</v>
      </c>
      <c r="G138" s="71" t="e">
        <f t="shared" ca="1" si="102"/>
        <v>#VALUE!</v>
      </c>
      <c r="H138" s="71" t="e">
        <f t="shared" ca="1" si="103"/>
        <v>#VALUE!</v>
      </c>
      <c r="I138" s="93" t="e">
        <f t="shared" ca="1" si="104"/>
        <v>#VALUE!</v>
      </c>
      <c r="J138" s="94"/>
      <c r="K138" s="70" t="e">
        <f ca="1">IF(K132&gt;0,INDEX(INDIRECT(F131),7,11),"")</f>
        <v>#VALUE!</v>
      </c>
      <c r="L138" s="71" t="e">
        <f t="shared" ca="1" si="105"/>
        <v>#VALUE!</v>
      </c>
      <c r="M138" s="72" t="e">
        <f t="shared" ca="1" si="106"/>
        <v>#VALUE!</v>
      </c>
      <c r="N138" s="73"/>
    </row>
    <row r="139" spans="1:14" s="5" customFormat="1" ht="15.75" thickBot="1" x14ac:dyDescent="0.3">
      <c r="A139" s="168"/>
      <c r="B139" s="168"/>
      <c r="C139" s="168"/>
      <c r="D139" s="169"/>
      <c r="E139" s="168"/>
      <c r="F139" s="233"/>
      <c r="G139" s="168"/>
      <c r="H139" s="168"/>
      <c r="I139" s="169"/>
      <c r="J139" s="168"/>
      <c r="K139" s="168"/>
      <c r="L139" s="168"/>
      <c r="M139" s="170"/>
      <c r="N139" s="169"/>
    </row>
    <row r="140" spans="1:14" ht="19.5" thickBot="1" x14ac:dyDescent="0.35">
      <c r="A140" s="206" t="e">
        <f>IF(RIGHT(A131,2)+1&lt;=$G$2,"День "&amp;RIGHT(A131,2)+1,"")</f>
        <v>#VALUE!</v>
      </c>
      <c r="B140" s="307">
        <f>B131+1</f>
        <v>42110</v>
      </c>
      <c r="C140" s="308"/>
      <c r="F140" s="210" t="e">
        <f>IF(RIGHT(A140,1)+0=0,"День5",IF(RIGHT(A140,1)+0&gt;5,"День"&amp;RIGHT(A140,1)-5,"День"&amp;RIGHT(A140,1)))</f>
        <v>#VALUE!</v>
      </c>
    </row>
    <row r="141" spans="1:14" ht="15.75" thickBot="1" x14ac:dyDescent="0.3">
      <c r="A141" s="119" t="s">
        <v>0</v>
      </c>
      <c r="B141" s="120"/>
      <c r="C141" s="120"/>
      <c r="D141" s="123"/>
      <c r="E141" s="122"/>
      <c r="F141" s="226" t="s">
        <v>10</v>
      </c>
      <c r="G141" s="120"/>
      <c r="H141" s="120"/>
      <c r="I141" s="123"/>
      <c r="J141" s="122"/>
      <c r="K141" s="119" t="s">
        <v>28</v>
      </c>
      <c r="L141" s="120"/>
      <c r="M141" s="124"/>
      <c r="N141" s="121"/>
    </row>
    <row r="142" spans="1:14" ht="30.75" customHeight="1" x14ac:dyDescent="0.25">
      <c r="A142" s="125" t="e">
        <f ca="1">IF(A141&gt;0,INDEX(INDIRECT(F140),2,1),"")</f>
        <v>#VALUE!</v>
      </c>
      <c r="B142" s="126" t="e">
        <f t="shared" ref="B142:B147" ca="1" si="107">IF($A142&gt;0,INDEX(Продукты,MATCH($A142,INDEX(Продукты,,1),0),2),0)</f>
        <v>#VALUE!</v>
      </c>
      <c r="C142" s="126" t="e">
        <f t="shared" ref="C142:C147" ca="1" si="108">IF($A142&gt;0,INDEX(Продукты,MATCH($A142,INDEX(Продукты,,1),0),3),0)</f>
        <v>#VALUE!</v>
      </c>
      <c r="D142" s="132" t="e">
        <f t="shared" ref="D142:D147" ca="1" si="109">ROUND(C142*$B$2,0)</f>
        <v>#VALUE!</v>
      </c>
      <c r="E142" s="128"/>
      <c r="F142" s="227" t="e">
        <f ca="1">IF(F141&gt;0,INDEX(INDIRECT(F140),2,6),"")</f>
        <v>#VALUE!</v>
      </c>
      <c r="G142" s="126" t="e">
        <f t="shared" ref="G142:G147" ca="1" si="110">IF($F142&gt;0,INDEX(Продукты,MATCH($F142,INDEX(Продукты,,1),0),2),0)</f>
        <v>#VALUE!</v>
      </c>
      <c r="H142" s="126" t="e">
        <f t="shared" ref="H142:H147" ca="1" si="111">IF($F142&gt;0,INDEX(Продукты,MATCH($F142,INDEX(Продукты,,1),0),3),0)</f>
        <v>#VALUE!</v>
      </c>
      <c r="I142" s="127" t="e">
        <f t="shared" ref="I142:I147" ca="1" si="112">H142*$B$2</f>
        <v>#VALUE!</v>
      </c>
      <c r="J142" s="128"/>
      <c r="K142" s="125" t="e">
        <f ca="1">IF(K141&gt;0,INDEX(INDIRECT(F140),2,11),"")</f>
        <v>#VALUE!</v>
      </c>
      <c r="L142" s="126" t="e">
        <f t="shared" ref="L142:L147" ca="1" si="113">IF($K142&gt;0,INDEX(Продукты,MATCH($K142,INDEX(Продукты,,1),0),2),"")</f>
        <v>#VALUE!</v>
      </c>
      <c r="M142" s="131" t="e">
        <f t="shared" ref="M142:M147" ca="1" si="114">IF($K142&gt;0,INDEX(Продукты,MATCH($K142,INDEX(Продукты,,1),0),3),"")</f>
        <v>#VALUE!</v>
      </c>
      <c r="N142" s="132" t="e">
        <f ca="1">M142*$B$2</f>
        <v>#VALUE!</v>
      </c>
    </row>
    <row r="143" spans="1:14" x14ac:dyDescent="0.25">
      <c r="A143" s="133" t="e">
        <f ca="1">IF(A141&gt;0,INDEX(INDIRECT(F140),3,1),"")</f>
        <v>#VALUE!</v>
      </c>
      <c r="B143" s="134" t="e">
        <f t="shared" ca="1" si="107"/>
        <v>#VALUE!</v>
      </c>
      <c r="C143" s="134" t="e">
        <f t="shared" ca="1" si="108"/>
        <v>#VALUE!</v>
      </c>
      <c r="D143" s="139" t="e">
        <f t="shared" ca="1" si="109"/>
        <v>#VALUE!</v>
      </c>
      <c r="E143" s="128"/>
      <c r="F143" s="228" t="e">
        <f ca="1">IF(F141&gt;0,INDEX(INDIRECT(F140),3,6),"")</f>
        <v>#VALUE!</v>
      </c>
      <c r="G143" s="134" t="e">
        <f t="shared" ca="1" si="110"/>
        <v>#VALUE!</v>
      </c>
      <c r="H143" s="134" t="e">
        <f t="shared" ca="1" si="111"/>
        <v>#VALUE!</v>
      </c>
      <c r="I143" s="135" t="e">
        <f t="shared" ca="1" si="112"/>
        <v>#VALUE!</v>
      </c>
      <c r="J143" s="128"/>
      <c r="K143" s="133" t="e">
        <f ca="1">IF(K141&gt;0,INDEX(INDIRECT(F140),3,11),"")</f>
        <v>#VALUE!</v>
      </c>
      <c r="L143" s="134" t="e">
        <f t="shared" ca="1" si="113"/>
        <v>#VALUE!</v>
      </c>
      <c r="M143" s="138" t="e">
        <f t="shared" ca="1" si="114"/>
        <v>#VALUE!</v>
      </c>
      <c r="N143" s="139" t="e">
        <f ca="1">M143*$B$2</f>
        <v>#VALUE!</v>
      </c>
    </row>
    <row r="144" spans="1:14" x14ac:dyDescent="0.25">
      <c r="A144" s="133" t="e">
        <f ca="1">IF(A141&gt;0,INDEX(INDIRECT(F140),4,1),"")</f>
        <v>#VALUE!</v>
      </c>
      <c r="B144" s="134" t="e">
        <f t="shared" ca="1" si="107"/>
        <v>#VALUE!</v>
      </c>
      <c r="C144" s="134" t="e">
        <f t="shared" ca="1" si="108"/>
        <v>#VALUE!</v>
      </c>
      <c r="D144" s="139" t="e">
        <f t="shared" ca="1" si="109"/>
        <v>#VALUE!</v>
      </c>
      <c r="E144" s="128"/>
      <c r="F144" s="228" t="e">
        <f ca="1">IF(F141&gt;0,INDEX(INDIRECT(F140),4,6),"")</f>
        <v>#VALUE!</v>
      </c>
      <c r="G144" s="134" t="e">
        <f t="shared" ca="1" si="110"/>
        <v>#VALUE!</v>
      </c>
      <c r="H144" s="134" t="e">
        <f t="shared" ca="1" si="111"/>
        <v>#VALUE!</v>
      </c>
      <c r="I144" s="135" t="e">
        <f t="shared" ca="1" si="112"/>
        <v>#VALUE!</v>
      </c>
      <c r="J144" s="128"/>
      <c r="K144" s="133" t="e">
        <f ca="1">IF(K141&gt;0,INDEX(INDIRECT(F140),4,11),"")</f>
        <v>#VALUE!</v>
      </c>
      <c r="L144" s="134" t="e">
        <f t="shared" ca="1" si="113"/>
        <v>#VALUE!</v>
      </c>
      <c r="M144" s="177" t="e">
        <f t="shared" ca="1" si="114"/>
        <v>#VALUE!</v>
      </c>
      <c r="N144" s="139" t="e">
        <f ca="1">M144*$B$2</f>
        <v>#VALUE!</v>
      </c>
    </row>
    <row r="145" spans="1:14" x14ac:dyDescent="0.25">
      <c r="A145" s="133" t="e">
        <f ca="1">IF(A141&gt;0,INDEX(INDIRECT(F140),5,1),"")</f>
        <v>#VALUE!</v>
      </c>
      <c r="B145" s="134" t="e">
        <f t="shared" ca="1" si="107"/>
        <v>#VALUE!</v>
      </c>
      <c r="C145" s="134" t="e">
        <f t="shared" ca="1" si="108"/>
        <v>#VALUE!</v>
      </c>
      <c r="D145" s="139" t="e">
        <f t="shared" ca="1" si="109"/>
        <v>#VALUE!</v>
      </c>
      <c r="E145" s="128"/>
      <c r="F145" s="228" t="e">
        <f ca="1">IF(F141&gt;0,INDEX(INDIRECT(F140),5,6),"")</f>
        <v>#VALUE!</v>
      </c>
      <c r="G145" s="134" t="e">
        <f t="shared" ca="1" si="110"/>
        <v>#VALUE!</v>
      </c>
      <c r="H145" s="134" t="e">
        <f t="shared" ca="1" si="111"/>
        <v>#VALUE!</v>
      </c>
      <c r="I145" s="135" t="e">
        <f t="shared" ca="1" si="112"/>
        <v>#VALUE!</v>
      </c>
      <c r="J145" s="128"/>
      <c r="K145" s="133" t="e">
        <f ca="1">IF(K141&gt;0,INDEX(INDIRECT(F140),5,11),"")</f>
        <v>#VALUE!</v>
      </c>
      <c r="L145" s="134" t="e">
        <f t="shared" ca="1" si="113"/>
        <v>#VALUE!</v>
      </c>
      <c r="M145" s="205" t="e">
        <f t="shared" ca="1" si="114"/>
        <v>#VALUE!</v>
      </c>
      <c r="N145" s="139" t="e">
        <f ca="1">M145*$B$2</f>
        <v>#VALUE!</v>
      </c>
    </row>
    <row r="146" spans="1:14" x14ac:dyDescent="0.25">
      <c r="A146" s="133" t="e">
        <f ca="1">IF(A141&gt;0,INDEX(INDIRECT(F140),6,1),"")</f>
        <v>#VALUE!</v>
      </c>
      <c r="B146" s="134" t="e">
        <f t="shared" ca="1" si="107"/>
        <v>#VALUE!</v>
      </c>
      <c r="C146" s="134" t="e">
        <f t="shared" ca="1" si="108"/>
        <v>#VALUE!</v>
      </c>
      <c r="D146" s="139" t="e">
        <f t="shared" ca="1" si="109"/>
        <v>#VALUE!</v>
      </c>
      <c r="E146" s="128"/>
      <c r="F146" s="228" t="e">
        <f ca="1">IF(F141&gt;0,INDEX(INDIRECT(F140),6,6),"")</f>
        <v>#VALUE!</v>
      </c>
      <c r="G146" s="134" t="e">
        <f t="shared" ca="1" si="110"/>
        <v>#VALUE!</v>
      </c>
      <c r="H146" s="134" t="e">
        <f t="shared" ca="1" si="111"/>
        <v>#VALUE!</v>
      </c>
      <c r="I146" s="135" t="e">
        <f t="shared" ca="1" si="112"/>
        <v>#VALUE!</v>
      </c>
      <c r="J146" s="128"/>
      <c r="K146" s="133" t="e">
        <f ca="1">IF(K141&gt;0,INDEX(INDIRECT(F140),6,11),"")</f>
        <v>#VALUE!</v>
      </c>
      <c r="L146" s="134" t="e">
        <f t="shared" ca="1" si="113"/>
        <v>#VALUE!</v>
      </c>
      <c r="M146" s="138" t="e">
        <f t="shared" ca="1" si="114"/>
        <v>#VALUE!</v>
      </c>
      <c r="N146" s="139"/>
    </row>
    <row r="147" spans="1:14" ht="15.75" thickBot="1" x14ac:dyDescent="0.3">
      <c r="A147" s="145" t="e">
        <f ca="1">IF(A141&gt;0,INDEX(INDIRECT(F140),7,1),"")</f>
        <v>#VALUE!</v>
      </c>
      <c r="B147" s="146" t="e">
        <f t="shared" ca="1" si="107"/>
        <v>#VALUE!</v>
      </c>
      <c r="C147" s="146" t="e">
        <f t="shared" ca="1" si="108"/>
        <v>#VALUE!</v>
      </c>
      <c r="D147" s="151" t="e">
        <f t="shared" ca="1" si="109"/>
        <v>#VALUE!</v>
      </c>
      <c r="E147" s="148"/>
      <c r="F147" s="229" t="e">
        <f ca="1">IF(F141&gt;0,INDEX(INDIRECT(F140),7,6),"")</f>
        <v>#VALUE!</v>
      </c>
      <c r="G147" s="146" t="e">
        <f t="shared" ca="1" si="110"/>
        <v>#VALUE!</v>
      </c>
      <c r="H147" s="146" t="e">
        <f t="shared" ca="1" si="111"/>
        <v>#VALUE!</v>
      </c>
      <c r="I147" s="147" t="e">
        <f t="shared" ca="1" si="112"/>
        <v>#VALUE!</v>
      </c>
      <c r="J147" s="148"/>
      <c r="K147" s="145" t="e">
        <f ca="1">IF(K141&gt;0,INDEX(INDIRECT(F140),7,11),"")</f>
        <v>#VALUE!</v>
      </c>
      <c r="L147" s="146" t="e">
        <f t="shared" ca="1" si="113"/>
        <v>#VALUE!</v>
      </c>
      <c r="M147" s="150" t="e">
        <f t="shared" ca="1" si="114"/>
        <v>#VALUE!</v>
      </c>
      <c r="N147" s="151"/>
    </row>
    <row r="148" spans="1:14" s="171" customFormat="1" ht="15.75" thickBot="1" x14ac:dyDescent="0.3">
      <c r="A148"/>
      <c r="B148"/>
      <c r="C148"/>
      <c r="D148"/>
      <c r="E148" s="5"/>
      <c r="F148" s="208"/>
      <c r="G148"/>
      <c r="H148"/>
      <c r="I148"/>
      <c r="J148" s="5"/>
      <c r="K148"/>
      <c r="L148"/>
      <c r="M148" s="1"/>
      <c r="N148" s="2"/>
    </row>
    <row r="149" spans="1:14" ht="19.5" thickBot="1" x14ac:dyDescent="0.35">
      <c r="A149" s="206" t="e">
        <f>IF(RIGHT(A140,2)+1&lt;=$G$2,"День "&amp;RIGHT(A140,2)+1,"")</f>
        <v>#VALUE!</v>
      </c>
      <c r="B149" s="307">
        <f>B140+1</f>
        <v>42111</v>
      </c>
      <c r="C149" s="308"/>
      <c r="F149" s="210" t="e">
        <f>IF(RIGHT(A149,1)+0=0,"День5",IF(RIGHT(A149,1)+0&gt;5,"День"&amp;RIGHT(A149,1)-5,"День"&amp;RIGHT(A149,1)))</f>
        <v>#VALUE!</v>
      </c>
    </row>
    <row r="150" spans="1:14" ht="15.75" thickBot="1" x14ac:dyDescent="0.3">
      <c r="A150" s="42" t="s">
        <v>0</v>
      </c>
      <c r="B150" s="43"/>
      <c r="C150" s="43"/>
      <c r="D150" s="75"/>
      <c r="E150" s="74"/>
      <c r="F150" s="215" t="s">
        <v>10</v>
      </c>
      <c r="G150" s="43"/>
      <c r="H150" s="43"/>
      <c r="I150" s="75"/>
      <c r="J150" s="74"/>
      <c r="K150" s="42" t="s">
        <v>28</v>
      </c>
      <c r="L150" s="43"/>
      <c r="M150" s="44"/>
      <c r="N150" s="45"/>
    </row>
    <row r="151" spans="1:14" x14ac:dyDescent="0.25">
      <c r="A151" s="46" t="e">
        <f ca="1">IF(A150&gt;0,INDEX(INDIRECT(F149),2,1),"")</f>
        <v>#VALUE!</v>
      </c>
      <c r="B151" s="47" t="e">
        <f t="shared" ref="B151:B156" ca="1" si="115">IF($A151&gt;0,INDEX(Продукты,MATCH($A151,INDEX(Продукты,,1),0),2),0)</f>
        <v>#VALUE!</v>
      </c>
      <c r="C151" s="47" t="e">
        <f t="shared" ref="C151:C156" ca="1" si="116">IF($A151&gt;0,INDEX(Продукты,MATCH($A151,INDEX(Продукты,,1),0),3),0)</f>
        <v>#VALUE!</v>
      </c>
      <c r="D151" s="49" t="e">
        <f t="shared" ref="D151:D156" ca="1" si="117">ROUND(C151*$B$2,0)</f>
        <v>#VALUE!</v>
      </c>
      <c r="E151" s="76"/>
      <c r="F151" s="207" t="e">
        <f ca="1">IF(F150&gt;0,INDEX(INDIRECT(F149),2,6),"")</f>
        <v>#VALUE!</v>
      </c>
      <c r="G151" s="47" t="e">
        <f t="shared" ref="G151:G156" ca="1" si="118">IF($F151&gt;0,INDEX(Продукты,MATCH($F151,INDEX(Продукты,,1),0),2),0)</f>
        <v>#VALUE!</v>
      </c>
      <c r="H151" s="47" t="e">
        <f t="shared" ref="H151:H156" ca="1" si="119">IF($F151&gt;0,INDEX(Продукты,MATCH($F151,INDEX(Продукты,,1),0),3),0)</f>
        <v>#VALUE!</v>
      </c>
      <c r="I151" s="78" t="e">
        <f t="shared" ref="I151:I156" ca="1" si="120">H151*$B$2</f>
        <v>#VALUE!</v>
      </c>
      <c r="J151" s="76"/>
      <c r="K151" s="46" t="e">
        <f ca="1">IF(K150&gt;0,INDEX(INDIRECT(F149),2,11),"")</f>
        <v>#VALUE!</v>
      </c>
      <c r="L151" s="47" t="e">
        <f t="shared" ref="L151:L156" ca="1" si="121">IF($K151&gt;0,INDEX(Продукты,MATCH($K151,INDEX(Продукты,,1),0),2),"")</f>
        <v>#VALUE!</v>
      </c>
      <c r="M151" s="48" t="e">
        <f t="shared" ref="M151:M156" ca="1" si="122">IF($K151&gt;0,INDEX(Продукты,MATCH($K151,INDEX(Продукты,,1),0),3),"")</f>
        <v>#VALUE!</v>
      </c>
      <c r="N151" s="49" t="e">
        <f ca="1">M151*$B$2</f>
        <v>#VALUE!</v>
      </c>
    </row>
    <row r="152" spans="1:14" x14ac:dyDescent="0.25">
      <c r="A152" s="50" t="e">
        <f ca="1">IF(A150&gt;0,INDEX(INDIRECT(F149),3,1),"")</f>
        <v>#VALUE!</v>
      </c>
      <c r="B152" s="51" t="e">
        <f t="shared" ca="1" si="115"/>
        <v>#VALUE!</v>
      </c>
      <c r="C152" s="51" t="e">
        <f t="shared" ca="1" si="116"/>
        <v>#VALUE!</v>
      </c>
      <c r="D152" s="53" t="e">
        <f t="shared" ca="1" si="117"/>
        <v>#VALUE!</v>
      </c>
      <c r="E152" s="76"/>
      <c r="F152" s="216" t="e">
        <f ca="1">IF(F150&gt;0,INDEX(INDIRECT(F149),3,6),"")</f>
        <v>#VALUE!</v>
      </c>
      <c r="G152" s="51" t="e">
        <f t="shared" ca="1" si="118"/>
        <v>#VALUE!</v>
      </c>
      <c r="H152" s="51" t="e">
        <f t="shared" ca="1" si="119"/>
        <v>#VALUE!</v>
      </c>
      <c r="I152" s="80" t="e">
        <f t="shared" ca="1" si="120"/>
        <v>#VALUE!</v>
      </c>
      <c r="J152" s="76"/>
      <c r="K152" s="50" t="e">
        <f ca="1">IF(K150&gt;0,INDEX(INDIRECT(F149),3,11),"")</f>
        <v>#VALUE!</v>
      </c>
      <c r="L152" s="51" t="e">
        <f t="shared" ca="1" si="121"/>
        <v>#VALUE!</v>
      </c>
      <c r="M152" s="52" t="e">
        <f t="shared" ca="1" si="122"/>
        <v>#VALUE!</v>
      </c>
      <c r="N152" s="53" t="e">
        <f ca="1">M152*$B$2</f>
        <v>#VALUE!</v>
      </c>
    </row>
    <row r="153" spans="1:14" x14ac:dyDescent="0.25">
      <c r="A153" s="50" t="e">
        <f ca="1">IF(A150&gt;0,INDEX(INDIRECT(F149),4,1),"")</f>
        <v>#VALUE!</v>
      </c>
      <c r="B153" s="51" t="e">
        <f t="shared" ca="1" si="115"/>
        <v>#VALUE!</v>
      </c>
      <c r="C153" s="51" t="e">
        <f t="shared" ca="1" si="116"/>
        <v>#VALUE!</v>
      </c>
      <c r="D153" s="53" t="e">
        <f t="shared" ca="1" si="117"/>
        <v>#VALUE!</v>
      </c>
      <c r="E153" s="76"/>
      <c r="F153" s="216" t="e">
        <f ca="1">IF(F150&gt;0,INDEX(INDIRECT(F149),4,6),"")</f>
        <v>#VALUE!</v>
      </c>
      <c r="G153" s="51" t="e">
        <f t="shared" ca="1" si="118"/>
        <v>#VALUE!</v>
      </c>
      <c r="H153" s="51" t="e">
        <f t="shared" ca="1" si="119"/>
        <v>#VALUE!</v>
      </c>
      <c r="I153" s="80" t="e">
        <f t="shared" ca="1" si="120"/>
        <v>#VALUE!</v>
      </c>
      <c r="J153" s="76"/>
      <c r="K153" s="50" t="e">
        <f ca="1">IF(K150&gt;0,INDEX(INDIRECT(F149),4,11),"")</f>
        <v>#VALUE!</v>
      </c>
      <c r="L153" s="51" t="e">
        <f t="shared" ca="1" si="121"/>
        <v>#VALUE!</v>
      </c>
      <c r="M153" s="173" t="e">
        <f t="shared" ca="1" si="122"/>
        <v>#VALUE!</v>
      </c>
      <c r="N153" s="53" t="e">
        <f ca="1">M153*$B$2</f>
        <v>#VALUE!</v>
      </c>
    </row>
    <row r="154" spans="1:14" x14ac:dyDescent="0.25">
      <c r="A154" s="50" t="e">
        <f ca="1">IF(A150&gt;0,INDEX(INDIRECT(F149),5,1),"")</f>
        <v>#VALUE!</v>
      </c>
      <c r="B154" s="51" t="e">
        <f t="shared" ca="1" si="115"/>
        <v>#VALUE!</v>
      </c>
      <c r="C154" s="51" t="e">
        <f t="shared" ca="1" si="116"/>
        <v>#VALUE!</v>
      </c>
      <c r="D154" s="53" t="e">
        <f t="shared" ca="1" si="117"/>
        <v>#VALUE!</v>
      </c>
      <c r="E154" s="76"/>
      <c r="F154" s="216" t="e">
        <f ca="1">IF(F150&gt;0,INDEX(INDIRECT(F149),5,6),"")</f>
        <v>#VALUE!</v>
      </c>
      <c r="G154" s="51" t="e">
        <f t="shared" ca="1" si="118"/>
        <v>#VALUE!</v>
      </c>
      <c r="H154" s="51" t="e">
        <f t="shared" ca="1" si="119"/>
        <v>#VALUE!</v>
      </c>
      <c r="I154" s="80" t="e">
        <f t="shared" ca="1" si="120"/>
        <v>#VALUE!</v>
      </c>
      <c r="J154" s="76"/>
      <c r="K154" s="50" t="e">
        <f ca="1">IF(K150&gt;0,INDEX(INDIRECT(F149),5,11),"")</f>
        <v>#VALUE!</v>
      </c>
      <c r="L154" s="51" t="e">
        <f t="shared" ca="1" si="121"/>
        <v>#VALUE!</v>
      </c>
      <c r="M154" s="179" t="e">
        <f t="shared" ca="1" si="122"/>
        <v>#VALUE!</v>
      </c>
      <c r="N154" s="53" t="e">
        <f ca="1">M154*$B$2</f>
        <v>#VALUE!</v>
      </c>
    </row>
    <row r="155" spans="1:14" x14ac:dyDescent="0.25">
      <c r="A155" s="50" t="e">
        <f ca="1">IF(A150&gt;0,INDEX(INDIRECT(F149),6,1),"")</f>
        <v>#VALUE!</v>
      </c>
      <c r="B155" s="51" t="e">
        <f t="shared" ca="1" si="115"/>
        <v>#VALUE!</v>
      </c>
      <c r="C155" s="51" t="e">
        <f t="shared" ca="1" si="116"/>
        <v>#VALUE!</v>
      </c>
      <c r="D155" s="53" t="e">
        <f t="shared" ca="1" si="117"/>
        <v>#VALUE!</v>
      </c>
      <c r="E155" s="76"/>
      <c r="F155" s="216" t="e">
        <f ca="1">IF(F150&gt;0,INDEX(INDIRECT(F149),6,6),"")</f>
        <v>#VALUE!</v>
      </c>
      <c r="G155" s="51" t="e">
        <f t="shared" ca="1" si="118"/>
        <v>#VALUE!</v>
      </c>
      <c r="H155" s="51" t="e">
        <f t="shared" ca="1" si="119"/>
        <v>#VALUE!</v>
      </c>
      <c r="I155" s="80" t="e">
        <f t="shared" ca="1" si="120"/>
        <v>#VALUE!</v>
      </c>
      <c r="J155" s="76"/>
      <c r="K155" s="50" t="e">
        <f ca="1">IF(K150&gt;0,INDEX(INDIRECT(F149),6,11),"")</f>
        <v>#VALUE!</v>
      </c>
      <c r="L155" s="51" t="e">
        <f t="shared" ca="1" si="121"/>
        <v>#VALUE!</v>
      </c>
      <c r="M155" s="52" t="e">
        <f t="shared" ca="1" si="122"/>
        <v>#VALUE!</v>
      </c>
      <c r="N155" s="53"/>
    </row>
    <row r="156" spans="1:14" ht="15.75" thickBot="1" x14ac:dyDescent="0.3">
      <c r="A156" s="54" t="e">
        <f ca="1">IF(A150&gt;0,INDEX(INDIRECT(F149),7,1),"")</f>
        <v>#VALUE!</v>
      </c>
      <c r="B156" s="55" t="e">
        <f t="shared" ca="1" si="115"/>
        <v>#VALUE!</v>
      </c>
      <c r="C156" s="55" t="e">
        <f t="shared" ca="1" si="116"/>
        <v>#VALUE!</v>
      </c>
      <c r="D156" s="57" t="e">
        <f t="shared" ca="1" si="117"/>
        <v>#VALUE!</v>
      </c>
      <c r="E156" s="81"/>
      <c r="F156" s="217" t="e">
        <f ca="1">IF(F150&gt;0,INDEX(INDIRECT(F149),7,6),"")</f>
        <v>#VALUE!</v>
      </c>
      <c r="G156" s="55" t="e">
        <f t="shared" ca="1" si="118"/>
        <v>#VALUE!</v>
      </c>
      <c r="H156" s="55" t="e">
        <f t="shared" ca="1" si="119"/>
        <v>#VALUE!</v>
      </c>
      <c r="I156" s="83" t="e">
        <f t="shared" ca="1" si="120"/>
        <v>#VALUE!</v>
      </c>
      <c r="J156" s="81"/>
      <c r="K156" s="54" t="e">
        <f ca="1">IF(K150&gt;0,INDEX(INDIRECT(F149),7,11),"")</f>
        <v>#VALUE!</v>
      </c>
      <c r="L156" s="55" t="e">
        <f t="shared" ca="1" si="121"/>
        <v>#VALUE!</v>
      </c>
      <c r="M156" s="56" t="e">
        <f t="shared" ca="1" si="122"/>
        <v>#VALUE!</v>
      </c>
      <c r="N156" s="57"/>
    </row>
    <row r="157" spans="1:14" ht="15.75" thickBot="1" x14ac:dyDescent="0.3"/>
    <row r="158" spans="1:14" ht="19.5" thickBot="1" x14ac:dyDescent="0.35">
      <c r="A158" s="206" t="e">
        <f>IF(RIGHT(A149,2)+1&lt;=$G$2,"День "&amp;RIGHT(A149,2)+1,"")</f>
        <v>#VALUE!</v>
      </c>
      <c r="B158" s="307">
        <f>B149+1</f>
        <v>42112</v>
      </c>
      <c r="C158" s="308"/>
      <c r="F158" s="210" t="e">
        <f>IF(RIGHT(A158,1)+0=0,"День5",IF(RIGHT(A158,1)+0&gt;5,"День"&amp;RIGHT(A158,1)-5,"День"&amp;RIGHT(A158,1)))</f>
        <v>#VALUE!</v>
      </c>
    </row>
    <row r="159" spans="1:14" ht="15.75" thickBot="1" x14ac:dyDescent="0.3">
      <c r="A159" s="10" t="s">
        <v>0</v>
      </c>
      <c r="B159" s="11"/>
      <c r="C159" s="11"/>
      <c r="D159" s="97"/>
      <c r="E159" s="96"/>
      <c r="F159" s="211" t="s">
        <v>10</v>
      </c>
      <c r="G159" s="11"/>
      <c r="H159" s="11"/>
      <c r="I159" s="97"/>
      <c r="J159" s="96"/>
      <c r="K159" s="10" t="s">
        <v>28</v>
      </c>
      <c r="L159" s="11"/>
      <c r="M159" s="12"/>
      <c r="N159" s="13"/>
    </row>
    <row r="160" spans="1:14" x14ac:dyDescent="0.25">
      <c r="A160" s="14" t="e">
        <f ca="1">IF(A159&gt;0,INDEX(INDIRECT(F158),2,1),"")</f>
        <v>#VALUE!</v>
      </c>
      <c r="B160" s="15" t="e">
        <f t="shared" ref="B160:B165" ca="1" si="123">IF($A160&gt;0,INDEX(Продукты,MATCH($A160,INDEX(Продукты,,1),0),2),0)</f>
        <v>#VALUE!</v>
      </c>
      <c r="C160" s="15" t="e">
        <f t="shared" ref="C160:C165" ca="1" si="124">IF($A160&gt;0,INDEX(Продукты,MATCH($A160,INDEX(Продукты,,1),0),3),0)</f>
        <v>#VALUE!</v>
      </c>
      <c r="D160" s="17" t="e">
        <f t="shared" ref="D160:D165" ca="1" si="125">ROUND(C160*$B$2,0)</f>
        <v>#VALUE!</v>
      </c>
      <c r="E160" s="99"/>
      <c r="F160" s="212" t="e">
        <f ca="1">IF(F159&gt;0,INDEX(INDIRECT(F158),2,6),"")</f>
        <v>#VALUE!</v>
      </c>
      <c r="G160" s="15" t="e">
        <f t="shared" ref="G160:G165" ca="1" si="126">IF($F160&gt;0,INDEX(Продукты,MATCH($F160,INDEX(Продукты,,1),0),2),0)</f>
        <v>#VALUE!</v>
      </c>
      <c r="H160" s="15" t="e">
        <f t="shared" ref="H160:H165" ca="1" si="127">IF($F160&gt;0,INDEX(Продукты,MATCH($F160,INDEX(Продукты,,1),0),3),0)</f>
        <v>#VALUE!</v>
      </c>
      <c r="I160" s="98" t="e">
        <f t="shared" ref="I160:I165" ca="1" si="128">H160*$B$2</f>
        <v>#VALUE!</v>
      </c>
      <c r="J160" s="99"/>
      <c r="K160" s="14" t="e">
        <f ca="1">IF(K159&gt;0,INDEX(INDIRECT(F158),2,11),"")</f>
        <v>#VALUE!</v>
      </c>
      <c r="L160" s="15" t="e">
        <f t="shared" ref="L160:L165" ca="1" si="129">IF($K160&gt;0,INDEX(Продукты,MATCH($K160,INDEX(Продукты,,1),0),2),"")</f>
        <v>#VALUE!</v>
      </c>
      <c r="M160" s="16" t="e">
        <f t="shared" ref="M160:M165" ca="1" si="130">IF($K160&gt;0,INDEX(Продукты,MATCH($K160,INDEX(Продукты,,1),0),3),"")</f>
        <v>#VALUE!</v>
      </c>
      <c r="N160" s="17" t="e">
        <f ca="1">M160*$B$2</f>
        <v>#VALUE!</v>
      </c>
    </row>
    <row r="161" spans="1:14" x14ac:dyDescent="0.25">
      <c r="A161" s="18" t="e">
        <f ca="1">IF(A159&gt;0,INDEX(INDIRECT(F158),3,1),"")</f>
        <v>#VALUE!</v>
      </c>
      <c r="B161" s="19" t="e">
        <f t="shared" ca="1" si="123"/>
        <v>#VALUE!</v>
      </c>
      <c r="C161" s="19" t="e">
        <f t="shared" ca="1" si="124"/>
        <v>#VALUE!</v>
      </c>
      <c r="D161" s="21" t="e">
        <f t="shared" ca="1" si="125"/>
        <v>#VALUE!</v>
      </c>
      <c r="E161" s="99"/>
      <c r="F161" s="213" t="e">
        <f ca="1">IF(F159&gt;0,INDEX(INDIRECT(F158),3,6),"")</f>
        <v>#VALUE!</v>
      </c>
      <c r="G161" s="19" t="e">
        <f t="shared" ca="1" si="126"/>
        <v>#VALUE!</v>
      </c>
      <c r="H161" s="19" t="e">
        <f t="shared" ca="1" si="127"/>
        <v>#VALUE!</v>
      </c>
      <c r="I161" s="102" t="e">
        <f t="shared" ca="1" si="128"/>
        <v>#VALUE!</v>
      </c>
      <c r="J161" s="99"/>
      <c r="K161" s="18" t="e">
        <f ca="1">IF(K159&gt;0,INDEX(INDIRECT(F158),3,11),"")</f>
        <v>#VALUE!</v>
      </c>
      <c r="L161" s="19" t="e">
        <f t="shared" ca="1" si="129"/>
        <v>#VALUE!</v>
      </c>
      <c r="M161" s="20" t="e">
        <f t="shared" ca="1" si="130"/>
        <v>#VALUE!</v>
      </c>
      <c r="N161" s="21" t="e">
        <f ca="1">M161*$B$2</f>
        <v>#VALUE!</v>
      </c>
    </row>
    <row r="162" spans="1:14" x14ac:dyDescent="0.25">
      <c r="A162" s="18" t="e">
        <f ca="1">IF(A159&gt;0,INDEX(INDIRECT(F158),4,1),"")</f>
        <v>#VALUE!</v>
      </c>
      <c r="B162" s="19" t="e">
        <f t="shared" ca="1" si="123"/>
        <v>#VALUE!</v>
      </c>
      <c r="C162" s="19" t="e">
        <f t="shared" ca="1" si="124"/>
        <v>#VALUE!</v>
      </c>
      <c r="D162" s="21" t="e">
        <f t="shared" ca="1" si="125"/>
        <v>#VALUE!</v>
      </c>
      <c r="E162" s="99"/>
      <c r="F162" s="213" t="e">
        <f ca="1">IF(F159&gt;0,INDEX(INDIRECT(F158),4,6),"")</f>
        <v>#VALUE!</v>
      </c>
      <c r="G162" s="19" t="e">
        <f t="shared" ca="1" si="126"/>
        <v>#VALUE!</v>
      </c>
      <c r="H162" s="19" t="e">
        <f t="shared" ca="1" si="127"/>
        <v>#VALUE!</v>
      </c>
      <c r="I162" s="102" t="e">
        <f t="shared" ca="1" si="128"/>
        <v>#VALUE!</v>
      </c>
      <c r="J162" s="99"/>
      <c r="K162" s="18" t="e">
        <f ca="1">IF(K159&gt;0,INDEX(INDIRECT(F158),4,11),"")</f>
        <v>#VALUE!</v>
      </c>
      <c r="L162" s="19" t="e">
        <f t="shared" ca="1" si="129"/>
        <v>#VALUE!</v>
      </c>
      <c r="M162" s="174" t="e">
        <f t="shared" ca="1" si="130"/>
        <v>#VALUE!</v>
      </c>
      <c r="N162" s="21" t="e">
        <f ca="1">M162*$B$2</f>
        <v>#VALUE!</v>
      </c>
    </row>
    <row r="163" spans="1:14" x14ac:dyDescent="0.25">
      <c r="A163" s="18" t="e">
        <f ca="1">IF(A159&gt;0,INDEX(INDIRECT(F158),5,1),"")</f>
        <v>#VALUE!</v>
      </c>
      <c r="B163" s="19" t="e">
        <f t="shared" ca="1" si="123"/>
        <v>#VALUE!</v>
      </c>
      <c r="C163" s="19" t="e">
        <f t="shared" ca="1" si="124"/>
        <v>#VALUE!</v>
      </c>
      <c r="D163" s="21" t="e">
        <f t="shared" ca="1" si="125"/>
        <v>#VALUE!</v>
      </c>
      <c r="E163" s="99"/>
      <c r="F163" s="213" t="e">
        <f ca="1">IF(F159&gt;0,INDEX(INDIRECT(F158),5,6),"")</f>
        <v>#VALUE!</v>
      </c>
      <c r="G163" s="19" t="e">
        <f t="shared" ca="1" si="126"/>
        <v>#VALUE!</v>
      </c>
      <c r="H163" s="19" t="e">
        <f t="shared" ca="1" si="127"/>
        <v>#VALUE!</v>
      </c>
      <c r="I163" s="102" t="e">
        <f t="shared" ca="1" si="128"/>
        <v>#VALUE!</v>
      </c>
      <c r="J163" s="99"/>
      <c r="K163" s="18" t="e">
        <f ca="1">IF(K159&gt;0,INDEX(INDIRECT(F158),5,11),"")</f>
        <v>#VALUE!</v>
      </c>
      <c r="L163" s="19" t="e">
        <f t="shared" ca="1" si="129"/>
        <v>#VALUE!</v>
      </c>
      <c r="M163" s="202" t="e">
        <f t="shared" ca="1" si="130"/>
        <v>#VALUE!</v>
      </c>
      <c r="N163" s="21" t="e">
        <f ca="1">M163*$B$2</f>
        <v>#VALUE!</v>
      </c>
    </row>
    <row r="164" spans="1:14" x14ac:dyDescent="0.25">
      <c r="A164" s="18" t="e">
        <f ca="1">IF(A159&gt;0,INDEX(INDIRECT(F158),6,1),"")</f>
        <v>#VALUE!</v>
      </c>
      <c r="B164" s="19" t="e">
        <f t="shared" ca="1" si="123"/>
        <v>#VALUE!</v>
      </c>
      <c r="C164" s="19" t="e">
        <f t="shared" ca="1" si="124"/>
        <v>#VALUE!</v>
      </c>
      <c r="D164" s="21" t="e">
        <f t="shared" ca="1" si="125"/>
        <v>#VALUE!</v>
      </c>
      <c r="E164" s="99"/>
      <c r="F164" s="213" t="e">
        <f ca="1">IF(F159&gt;0,INDEX(INDIRECT(F158),6,6),"")</f>
        <v>#VALUE!</v>
      </c>
      <c r="G164" s="19" t="e">
        <f t="shared" ca="1" si="126"/>
        <v>#VALUE!</v>
      </c>
      <c r="H164" s="19" t="e">
        <f t="shared" ca="1" si="127"/>
        <v>#VALUE!</v>
      </c>
      <c r="I164" s="102" t="e">
        <f t="shared" ca="1" si="128"/>
        <v>#VALUE!</v>
      </c>
      <c r="J164" s="99"/>
      <c r="K164" s="18" t="e">
        <f ca="1">IF(K159&gt;0,INDEX(INDIRECT(F158),6,11),"")</f>
        <v>#VALUE!</v>
      </c>
      <c r="L164" s="19" t="e">
        <f t="shared" ca="1" si="129"/>
        <v>#VALUE!</v>
      </c>
      <c r="M164" s="20" t="e">
        <f t="shared" ca="1" si="130"/>
        <v>#VALUE!</v>
      </c>
      <c r="N164" s="21"/>
    </row>
    <row r="165" spans="1:14" ht="15.75" thickBot="1" x14ac:dyDescent="0.3">
      <c r="A165" s="22" t="e">
        <f ca="1">IF(A159&gt;0,INDEX(INDIRECT(F158),7,1),"")</f>
        <v>#VALUE!</v>
      </c>
      <c r="B165" s="23" t="e">
        <f t="shared" ca="1" si="123"/>
        <v>#VALUE!</v>
      </c>
      <c r="C165" s="23" t="e">
        <f t="shared" ca="1" si="124"/>
        <v>#VALUE!</v>
      </c>
      <c r="D165" s="25" t="e">
        <f t="shared" ca="1" si="125"/>
        <v>#VALUE!</v>
      </c>
      <c r="E165" s="106"/>
      <c r="F165" s="214" t="e">
        <f ca="1">IF(F159&gt;0,INDEX(INDIRECT(F158),7,6),"")</f>
        <v>#VALUE!</v>
      </c>
      <c r="G165" s="23" t="e">
        <f t="shared" ca="1" si="126"/>
        <v>#VALUE!</v>
      </c>
      <c r="H165" s="23" t="e">
        <f t="shared" ca="1" si="127"/>
        <v>#VALUE!</v>
      </c>
      <c r="I165" s="105" t="e">
        <f t="shared" ca="1" si="128"/>
        <v>#VALUE!</v>
      </c>
      <c r="J165" s="106"/>
      <c r="K165" s="22" t="e">
        <f ca="1">IF(K159&gt;0,INDEX(INDIRECT(F158),7,11),"")</f>
        <v>#VALUE!</v>
      </c>
      <c r="L165" s="23" t="e">
        <f t="shared" ca="1" si="129"/>
        <v>#VALUE!</v>
      </c>
      <c r="M165" s="24" t="e">
        <f t="shared" ca="1" si="130"/>
        <v>#VALUE!</v>
      </c>
      <c r="N165" s="25"/>
    </row>
    <row r="166" spans="1:14" ht="15.75" thickBot="1" x14ac:dyDescent="0.3"/>
    <row r="167" spans="1:14" ht="19.5" thickBot="1" x14ac:dyDescent="0.35">
      <c r="A167" s="206" t="e">
        <f>IF(RIGHT(A158,2)+1&lt;=$G$2,"День "&amp;RIGHT(A158,2)+1,"")</f>
        <v>#VALUE!</v>
      </c>
      <c r="B167" s="307">
        <f>B158+1</f>
        <v>42113</v>
      </c>
      <c r="C167" s="308"/>
      <c r="F167" s="210" t="e">
        <f>IF(RIGHT(A167,1)+0=0,"День5",IF(RIGHT(A167,1)+0&gt;5,"День"&amp;RIGHT(A167,1)-5,"День"&amp;RIGHT(A167,1)))</f>
        <v>#VALUE!</v>
      </c>
    </row>
    <row r="168" spans="1:14" ht="15.75" thickBot="1" x14ac:dyDescent="0.3">
      <c r="A168" s="26" t="s">
        <v>0</v>
      </c>
      <c r="B168" s="27"/>
      <c r="C168" s="27"/>
      <c r="D168" s="109"/>
      <c r="E168" s="108"/>
      <c r="F168" s="220" t="s">
        <v>10</v>
      </c>
      <c r="G168" s="27"/>
      <c r="H168" s="27"/>
      <c r="I168" s="109"/>
      <c r="J168" s="108"/>
      <c r="K168" s="26" t="s">
        <v>28</v>
      </c>
      <c r="L168" s="27"/>
      <c r="M168" s="28"/>
      <c r="N168" s="29"/>
    </row>
    <row r="169" spans="1:14" x14ac:dyDescent="0.25">
      <c r="A169" s="30" t="e">
        <f ca="1">IF(A168&gt;0,INDEX(INDIRECT(F167),2,1),"")</f>
        <v>#VALUE!</v>
      </c>
      <c r="B169" s="31" t="e">
        <f t="shared" ref="B169:B174" ca="1" si="131">IF($A169&gt;0,INDEX(Продукты,MATCH($A169,INDEX(Продукты,,1),0),2),0)</f>
        <v>#VALUE!</v>
      </c>
      <c r="C169" s="31" t="e">
        <f t="shared" ref="C169:C174" ca="1" si="132">IF($A169&gt;0,INDEX(Продукты,MATCH($A169,INDEX(Продукты,,1),0),3),0)</f>
        <v>#VALUE!</v>
      </c>
      <c r="D169" s="33" t="e">
        <f t="shared" ref="D169:D174" ca="1" si="133">ROUND(C169*$B$2,0)</f>
        <v>#VALUE!</v>
      </c>
      <c r="E169" s="111"/>
      <c r="F169" s="230" t="e">
        <f ca="1">IF(F168&gt;0,INDEX(INDIRECT(F167),2,6),"")</f>
        <v>#VALUE!</v>
      </c>
      <c r="G169" s="31" t="e">
        <f t="shared" ref="G169:G174" ca="1" si="134">IF($F169&gt;0,INDEX(Продукты,MATCH($F169,INDEX(Продукты,,1),0),2),0)</f>
        <v>#VALUE!</v>
      </c>
      <c r="H169" s="31" t="e">
        <f t="shared" ref="H169:H174" ca="1" si="135">IF($F169&gt;0,INDEX(Продукты,MATCH($F169,INDEX(Продукты,,1),0),3),0)</f>
        <v>#VALUE!</v>
      </c>
      <c r="I169" s="110" t="e">
        <f t="shared" ref="I169:I174" ca="1" si="136">H169*$B$2</f>
        <v>#VALUE!</v>
      </c>
      <c r="J169" s="111"/>
      <c r="K169" s="30" t="e">
        <f ca="1">IF(K168&gt;0,INDEX(INDIRECT(F167),2,11),"")</f>
        <v>#VALUE!</v>
      </c>
      <c r="L169" s="31" t="e">
        <f t="shared" ref="L169:L174" ca="1" si="137">IF($K169&gt;0,INDEX(Продукты,MATCH($K169,INDEX(Продукты,,1),0),2),"")</f>
        <v>#VALUE!</v>
      </c>
      <c r="M169" s="32" t="e">
        <f t="shared" ref="M169:M174" ca="1" si="138">IF($K169&gt;0,INDEX(Продукты,MATCH($K169,INDEX(Продукты,,1),0),3),"")</f>
        <v>#VALUE!</v>
      </c>
      <c r="N169" s="33" t="e">
        <f ca="1">M169*$B$2</f>
        <v>#VALUE!</v>
      </c>
    </row>
    <row r="170" spans="1:14" x14ac:dyDescent="0.25">
      <c r="A170" s="34" t="e">
        <f ca="1">IF(A168&gt;0,INDEX(INDIRECT(F167),3,1),"")</f>
        <v>#VALUE!</v>
      </c>
      <c r="B170" s="35" t="e">
        <f t="shared" ca="1" si="131"/>
        <v>#VALUE!</v>
      </c>
      <c r="C170" s="35" t="e">
        <f t="shared" ca="1" si="132"/>
        <v>#VALUE!</v>
      </c>
      <c r="D170" s="37" t="e">
        <f t="shared" ca="1" si="133"/>
        <v>#VALUE!</v>
      </c>
      <c r="E170" s="111"/>
      <c r="F170" s="231" t="e">
        <f ca="1">IF(F168&gt;0,INDEX(INDIRECT(F167),3,6),"")</f>
        <v>#VALUE!</v>
      </c>
      <c r="G170" s="35" t="e">
        <f t="shared" ca="1" si="134"/>
        <v>#VALUE!</v>
      </c>
      <c r="H170" s="35" t="e">
        <f t="shared" ca="1" si="135"/>
        <v>#VALUE!</v>
      </c>
      <c r="I170" s="114" t="e">
        <f t="shared" ca="1" si="136"/>
        <v>#VALUE!</v>
      </c>
      <c r="J170" s="111"/>
      <c r="K170" s="34" t="e">
        <f ca="1">IF(K168&gt;0,INDEX(INDIRECT(F167),3,11),"")</f>
        <v>#VALUE!</v>
      </c>
      <c r="L170" s="35" t="e">
        <f t="shared" ca="1" si="137"/>
        <v>#VALUE!</v>
      </c>
      <c r="M170" s="36" t="e">
        <f t="shared" ca="1" si="138"/>
        <v>#VALUE!</v>
      </c>
      <c r="N170" s="37" t="e">
        <f ca="1">M170*$B$2</f>
        <v>#VALUE!</v>
      </c>
    </row>
    <row r="171" spans="1:14" x14ac:dyDescent="0.25">
      <c r="A171" s="34" t="e">
        <f ca="1">IF(A168&gt;0,INDEX(INDIRECT(F167),4,1),"")</f>
        <v>#VALUE!</v>
      </c>
      <c r="B171" s="35" t="e">
        <f t="shared" ca="1" si="131"/>
        <v>#VALUE!</v>
      </c>
      <c r="C171" s="35" t="e">
        <f t="shared" ca="1" si="132"/>
        <v>#VALUE!</v>
      </c>
      <c r="D171" s="37" t="e">
        <f t="shared" ca="1" si="133"/>
        <v>#VALUE!</v>
      </c>
      <c r="E171" s="111"/>
      <c r="F171" s="231" t="e">
        <f ca="1">IF(F168&gt;0,INDEX(INDIRECT(F167),4,6),"")</f>
        <v>#VALUE!</v>
      </c>
      <c r="G171" s="35" t="e">
        <f t="shared" ca="1" si="134"/>
        <v>#VALUE!</v>
      </c>
      <c r="H171" s="35" t="e">
        <f t="shared" ca="1" si="135"/>
        <v>#VALUE!</v>
      </c>
      <c r="I171" s="114" t="e">
        <f t="shared" ca="1" si="136"/>
        <v>#VALUE!</v>
      </c>
      <c r="J171" s="111"/>
      <c r="K171" s="34" t="e">
        <f ca="1">IF(K168&gt;0,INDEX(INDIRECT(F167),4,11),"")</f>
        <v>#VALUE!</v>
      </c>
      <c r="L171" s="35" t="e">
        <f t="shared" ca="1" si="137"/>
        <v>#VALUE!</v>
      </c>
      <c r="M171" s="175" t="e">
        <f t="shared" ca="1" si="138"/>
        <v>#VALUE!</v>
      </c>
      <c r="N171" s="37" t="e">
        <f ca="1">M171*$B$2</f>
        <v>#VALUE!</v>
      </c>
    </row>
    <row r="172" spans="1:14" x14ac:dyDescent="0.25">
      <c r="A172" s="34" t="e">
        <f ca="1">IF(A168&gt;0,INDEX(INDIRECT(F167),5,1),"")</f>
        <v>#VALUE!</v>
      </c>
      <c r="B172" s="35" t="e">
        <f t="shared" ca="1" si="131"/>
        <v>#VALUE!</v>
      </c>
      <c r="C172" s="35" t="e">
        <f t="shared" ca="1" si="132"/>
        <v>#VALUE!</v>
      </c>
      <c r="D172" s="37" t="e">
        <f t="shared" ca="1" si="133"/>
        <v>#VALUE!</v>
      </c>
      <c r="E172" s="111"/>
      <c r="F172" s="231" t="e">
        <f ca="1">IF(F168&gt;0,INDEX(INDIRECT(F167),5,6),"")</f>
        <v>#VALUE!</v>
      </c>
      <c r="G172" s="35" t="e">
        <f t="shared" ca="1" si="134"/>
        <v>#VALUE!</v>
      </c>
      <c r="H172" s="35" t="e">
        <f t="shared" ca="1" si="135"/>
        <v>#VALUE!</v>
      </c>
      <c r="I172" s="114" t="e">
        <f t="shared" ca="1" si="136"/>
        <v>#VALUE!</v>
      </c>
      <c r="J172" s="111"/>
      <c r="K172" s="34" t="e">
        <f ca="1">IF(K168&gt;0,INDEX(INDIRECT(F167),5,11),"")</f>
        <v>#VALUE!</v>
      </c>
      <c r="L172" s="35" t="e">
        <f t="shared" ca="1" si="137"/>
        <v>#VALUE!</v>
      </c>
      <c r="M172" s="203" t="e">
        <f t="shared" ca="1" si="138"/>
        <v>#VALUE!</v>
      </c>
      <c r="N172" s="37" t="e">
        <f ca="1">M172*$B$2</f>
        <v>#VALUE!</v>
      </c>
    </row>
    <row r="173" spans="1:14" x14ac:dyDescent="0.25">
      <c r="A173" s="34" t="e">
        <f ca="1">IF(A168&gt;0,INDEX(INDIRECT(F167),6,1),"")</f>
        <v>#VALUE!</v>
      </c>
      <c r="B173" s="35" t="e">
        <f t="shared" ca="1" si="131"/>
        <v>#VALUE!</v>
      </c>
      <c r="C173" s="35" t="e">
        <f t="shared" ca="1" si="132"/>
        <v>#VALUE!</v>
      </c>
      <c r="D173" s="37" t="e">
        <f t="shared" ca="1" si="133"/>
        <v>#VALUE!</v>
      </c>
      <c r="E173" s="111"/>
      <c r="F173" s="231" t="e">
        <f ca="1">IF(F168&gt;0,INDEX(INDIRECT(F167),6,6),"")</f>
        <v>#VALUE!</v>
      </c>
      <c r="G173" s="35" t="e">
        <f t="shared" ca="1" si="134"/>
        <v>#VALUE!</v>
      </c>
      <c r="H173" s="35" t="e">
        <f t="shared" ca="1" si="135"/>
        <v>#VALUE!</v>
      </c>
      <c r="I173" s="114" t="e">
        <f t="shared" ca="1" si="136"/>
        <v>#VALUE!</v>
      </c>
      <c r="J173" s="111"/>
      <c r="K173" s="34" t="e">
        <f ca="1">IF(K168&gt;0,INDEX(INDIRECT(F167),6,11),"")</f>
        <v>#VALUE!</v>
      </c>
      <c r="L173" s="35" t="e">
        <f t="shared" ca="1" si="137"/>
        <v>#VALUE!</v>
      </c>
      <c r="M173" s="36" t="e">
        <f t="shared" ca="1" si="138"/>
        <v>#VALUE!</v>
      </c>
      <c r="N173" s="37"/>
    </row>
    <row r="174" spans="1:14" ht="15.75" thickBot="1" x14ac:dyDescent="0.3">
      <c r="A174" s="38" t="e">
        <f ca="1">IF(A168&gt;0,INDEX(INDIRECT(F167),7,1),"")</f>
        <v>#VALUE!</v>
      </c>
      <c r="B174" s="39" t="e">
        <f t="shared" ca="1" si="131"/>
        <v>#VALUE!</v>
      </c>
      <c r="C174" s="39" t="e">
        <f t="shared" ca="1" si="132"/>
        <v>#VALUE!</v>
      </c>
      <c r="D174" s="41" t="e">
        <f t="shared" ca="1" si="133"/>
        <v>#VALUE!</v>
      </c>
      <c r="E174" s="117"/>
      <c r="F174" s="232" t="e">
        <f ca="1">IF(F168&gt;0,INDEX(INDIRECT(F167),7,6),"")</f>
        <v>#VALUE!</v>
      </c>
      <c r="G174" s="39" t="e">
        <f t="shared" ca="1" si="134"/>
        <v>#VALUE!</v>
      </c>
      <c r="H174" s="39" t="e">
        <f t="shared" ca="1" si="135"/>
        <v>#VALUE!</v>
      </c>
      <c r="I174" s="116" t="e">
        <f t="shared" ca="1" si="136"/>
        <v>#VALUE!</v>
      </c>
      <c r="J174" s="117"/>
      <c r="K174" s="38" t="e">
        <f ca="1">IF(K168&gt;0,INDEX(INDIRECT(F167),7,11),"")</f>
        <v>#VALUE!</v>
      </c>
      <c r="L174" s="39" t="e">
        <f t="shared" ca="1" si="137"/>
        <v>#VALUE!</v>
      </c>
      <c r="M174" s="40" t="e">
        <f t="shared" ca="1" si="138"/>
        <v>#VALUE!</v>
      </c>
      <c r="N174" s="41"/>
    </row>
    <row r="175" spans="1:14" ht="15.75" thickBot="1" x14ac:dyDescent="0.3"/>
    <row r="176" spans="1:14" ht="19.5" thickBot="1" x14ac:dyDescent="0.35">
      <c r="A176" s="206" t="e">
        <f>IF(RIGHT(A167,2)+1&lt;=$G$2,"День "&amp;RIGHT(A167,2)+1,"")</f>
        <v>#VALUE!</v>
      </c>
      <c r="B176" s="307">
        <f>B167+1</f>
        <v>42114</v>
      </c>
      <c r="C176" s="308"/>
      <c r="F176" s="210" t="e">
        <f>IF(RIGHT(A176,1)+0=0,"День5",IF(RIGHT(A176,1)+0&gt;5,"День"&amp;RIGHT(A176,1)-5,"День"&amp;RIGHT(A176,1)))</f>
        <v>#VALUE!</v>
      </c>
    </row>
    <row r="177" spans="1:14" ht="15.75" thickBot="1" x14ac:dyDescent="0.3">
      <c r="A177" s="58" t="s">
        <v>0</v>
      </c>
      <c r="B177" s="59"/>
      <c r="C177" s="59"/>
      <c r="D177" s="85"/>
      <c r="E177" s="84"/>
      <c r="F177" s="222" t="s">
        <v>10</v>
      </c>
      <c r="G177" s="59"/>
      <c r="H177" s="59"/>
      <c r="I177" s="85"/>
      <c r="J177" s="84"/>
      <c r="K177" s="58" t="s">
        <v>28</v>
      </c>
      <c r="L177" s="59"/>
      <c r="M177" s="60"/>
      <c r="N177" s="61"/>
    </row>
    <row r="178" spans="1:14" x14ac:dyDescent="0.25">
      <c r="A178" s="62" t="e">
        <f ca="1">IF(A177&gt;0,INDEX(INDIRECT(F176),2,1),"")</f>
        <v>#VALUE!</v>
      </c>
      <c r="B178" s="63" t="e">
        <f t="shared" ref="B178:B183" ca="1" si="139">IF($A178&gt;0,INDEX(Продукты,MATCH($A178,INDEX(Продукты,,1),0),2),0)</f>
        <v>#VALUE!</v>
      </c>
      <c r="C178" s="63" t="e">
        <f t="shared" ref="C178:C183" ca="1" si="140">IF($A178&gt;0,INDEX(Продукты,MATCH($A178,INDEX(Продукты,,1),0),3),0)</f>
        <v>#VALUE!</v>
      </c>
      <c r="D178" s="65" t="e">
        <f t="shared" ref="D178:D183" ca="1" si="141">ROUND(C178*$B$2,0)</f>
        <v>#VALUE!</v>
      </c>
      <c r="E178" s="87"/>
      <c r="F178" s="223" t="e">
        <f ca="1">IF(F177&gt;0,INDEX(INDIRECT(F176),2,6),"")</f>
        <v>#VALUE!</v>
      </c>
      <c r="G178" s="63" t="e">
        <f t="shared" ref="G178:G183" ca="1" si="142">IF($F178&gt;0,INDEX(Продукты,MATCH($F178,INDEX(Продукты,,1),0),2),0)</f>
        <v>#VALUE!</v>
      </c>
      <c r="H178" s="63" t="e">
        <f t="shared" ref="H178:H183" ca="1" si="143">IF($F178&gt;0,INDEX(Продукты,MATCH($F178,INDEX(Продукты,,1),0),3),0)</f>
        <v>#VALUE!</v>
      </c>
      <c r="I178" s="86" t="e">
        <f t="shared" ref="I178:I183" ca="1" si="144">H178*$B$2</f>
        <v>#VALUE!</v>
      </c>
      <c r="J178" s="87"/>
      <c r="K178" s="62" t="e">
        <f ca="1">IF(K177&gt;0,INDEX(INDIRECT(F176),2,11),"")</f>
        <v>#VALUE!</v>
      </c>
      <c r="L178" s="63" t="e">
        <f t="shared" ref="L178:L183" ca="1" si="145">IF($K178&gt;0,INDEX(Продукты,MATCH($K178,INDEX(Продукты,,1),0),2),"")</f>
        <v>#VALUE!</v>
      </c>
      <c r="M178" s="64" t="e">
        <f t="shared" ref="M178:M183" ca="1" si="146">IF($K178&gt;0,INDEX(Продукты,MATCH($K178,INDEX(Продукты,,1),0),3),"")</f>
        <v>#VALUE!</v>
      </c>
      <c r="N178" s="65" t="e">
        <f ca="1">M178*$B$2</f>
        <v>#VALUE!</v>
      </c>
    </row>
    <row r="179" spans="1:14" x14ac:dyDescent="0.25">
      <c r="A179" s="66" t="e">
        <f ca="1">IF(A177&gt;0,INDEX(INDIRECT(F176),3,1),"")</f>
        <v>#VALUE!</v>
      </c>
      <c r="B179" s="67" t="e">
        <f t="shared" ca="1" si="139"/>
        <v>#VALUE!</v>
      </c>
      <c r="C179" s="67" t="e">
        <f t="shared" ca="1" si="140"/>
        <v>#VALUE!</v>
      </c>
      <c r="D179" s="69" t="e">
        <f t="shared" ca="1" si="141"/>
        <v>#VALUE!</v>
      </c>
      <c r="E179" s="87"/>
      <c r="F179" s="224" t="e">
        <f ca="1">IF(F177&gt;0,INDEX(INDIRECT(F176),3,6),"")</f>
        <v>#VALUE!</v>
      </c>
      <c r="G179" s="67" t="e">
        <f t="shared" ca="1" si="142"/>
        <v>#VALUE!</v>
      </c>
      <c r="H179" s="67" t="e">
        <f t="shared" ca="1" si="143"/>
        <v>#VALUE!</v>
      </c>
      <c r="I179" s="90" t="e">
        <f t="shared" ca="1" si="144"/>
        <v>#VALUE!</v>
      </c>
      <c r="J179" s="87"/>
      <c r="K179" s="66" t="e">
        <f ca="1">IF(K177&gt;0,INDEX(INDIRECT(F176),3,11),"")</f>
        <v>#VALUE!</v>
      </c>
      <c r="L179" s="67" t="e">
        <f t="shared" ca="1" si="145"/>
        <v>#VALUE!</v>
      </c>
      <c r="M179" s="68" t="e">
        <f t="shared" ca="1" si="146"/>
        <v>#VALUE!</v>
      </c>
      <c r="N179" s="69" t="e">
        <f ca="1">M179*$B$2</f>
        <v>#VALUE!</v>
      </c>
    </row>
    <row r="180" spans="1:14" x14ac:dyDescent="0.25">
      <c r="A180" s="66" t="e">
        <f ca="1">IF(A177&gt;0,INDEX(INDIRECT(F176),4,1),"")</f>
        <v>#VALUE!</v>
      </c>
      <c r="B180" s="67" t="e">
        <f t="shared" ca="1" si="139"/>
        <v>#VALUE!</v>
      </c>
      <c r="C180" s="67" t="e">
        <f t="shared" ca="1" si="140"/>
        <v>#VALUE!</v>
      </c>
      <c r="D180" s="69" t="e">
        <f t="shared" ca="1" si="141"/>
        <v>#VALUE!</v>
      </c>
      <c r="E180" s="87"/>
      <c r="F180" s="224" t="e">
        <f ca="1">IF(F177&gt;0,INDEX(INDIRECT(F176),4,6),"")</f>
        <v>#VALUE!</v>
      </c>
      <c r="G180" s="67" t="e">
        <f t="shared" ca="1" si="142"/>
        <v>#VALUE!</v>
      </c>
      <c r="H180" s="67" t="e">
        <f t="shared" ca="1" si="143"/>
        <v>#VALUE!</v>
      </c>
      <c r="I180" s="90" t="e">
        <f t="shared" ca="1" si="144"/>
        <v>#VALUE!</v>
      </c>
      <c r="J180" s="87"/>
      <c r="K180" s="66" t="e">
        <f ca="1">IF(K177&gt;0,INDEX(INDIRECT(F176),4,11),"")</f>
        <v>#VALUE!</v>
      </c>
      <c r="L180" s="67" t="e">
        <f t="shared" ca="1" si="145"/>
        <v>#VALUE!</v>
      </c>
      <c r="M180" s="176" t="e">
        <f t="shared" ca="1" si="146"/>
        <v>#VALUE!</v>
      </c>
      <c r="N180" s="69" t="e">
        <f ca="1">M180*$B$2</f>
        <v>#VALUE!</v>
      </c>
    </row>
    <row r="181" spans="1:14" x14ac:dyDescent="0.25">
      <c r="A181" s="66" t="e">
        <f ca="1">IF(A177&gt;0,INDEX(INDIRECT(F176),5,1),"")</f>
        <v>#VALUE!</v>
      </c>
      <c r="B181" s="67" t="e">
        <f t="shared" ca="1" si="139"/>
        <v>#VALUE!</v>
      </c>
      <c r="C181" s="67" t="e">
        <f t="shared" ca="1" si="140"/>
        <v>#VALUE!</v>
      </c>
      <c r="D181" s="69" t="e">
        <f t="shared" ca="1" si="141"/>
        <v>#VALUE!</v>
      </c>
      <c r="E181" s="87"/>
      <c r="F181" s="224" t="e">
        <f ca="1">IF(F177&gt;0,INDEX(INDIRECT(F176),5,6),"")</f>
        <v>#VALUE!</v>
      </c>
      <c r="G181" s="67" t="e">
        <f t="shared" ca="1" si="142"/>
        <v>#VALUE!</v>
      </c>
      <c r="H181" s="67" t="e">
        <f t="shared" ca="1" si="143"/>
        <v>#VALUE!</v>
      </c>
      <c r="I181" s="90" t="e">
        <f t="shared" ca="1" si="144"/>
        <v>#VALUE!</v>
      </c>
      <c r="J181" s="87"/>
      <c r="K181" s="66" t="e">
        <f ca="1">IF(K177&gt;0,INDEX(INDIRECT(F176),5,11),"")</f>
        <v>#VALUE!</v>
      </c>
      <c r="L181" s="67" t="e">
        <f t="shared" ca="1" si="145"/>
        <v>#VALUE!</v>
      </c>
      <c r="M181" s="204" t="e">
        <f t="shared" ca="1" si="146"/>
        <v>#VALUE!</v>
      </c>
      <c r="N181" s="69" t="e">
        <f ca="1">M181*$B$2</f>
        <v>#VALUE!</v>
      </c>
    </row>
    <row r="182" spans="1:14" x14ac:dyDescent="0.25">
      <c r="A182" s="66" t="e">
        <f ca="1">IF(A177&gt;0,INDEX(INDIRECT(F176),6,1),"")</f>
        <v>#VALUE!</v>
      </c>
      <c r="B182" s="67" t="e">
        <f t="shared" ca="1" si="139"/>
        <v>#VALUE!</v>
      </c>
      <c r="C182" s="67" t="e">
        <f t="shared" ca="1" si="140"/>
        <v>#VALUE!</v>
      </c>
      <c r="D182" s="69" t="e">
        <f t="shared" ca="1" si="141"/>
        <v>#VALUE!</v>
      </c>
      <c r="E182" s="87"/>
      <c r="F182" s="224" t="e">
        <f ca="1">IF(F177&gt;0,INDEX(INDIRECT(F176),6,6),"")</f>
        <v>#VALUE!</v>
      </c>
      <c r="G182" s="67" t="e">
        <f t="shared" ca="1" si="142"/>
        <v>#VALUE!</v>
      </c>
      <c r="H182" s="67" t="e">
        <f t="shared" ca="1" si="143"/>
        <v>#VALUE!</v>
      </c>
      <c r="I182" s="90" t="e">
        <f t="shared" ca="1" si="144"/>
        <v>#VALUE!</v>
      </c>
      <c r="J182" s="87"/>
      <c r="K182" s="66" t="e">
        <f ca="1">IF(K177&gt;0,INDEX(INDIRECT(F176),6,11),"")</f>
        <v>#VALUE!</v>
      </c>
      <c r="L182" s="67" t="e">
        <f t="shared" ca="1" si="145"/>
        <v>#VALUE!</v>
      </c>
      <c r="M182" s="68" t="e">
        <f t="shared" ca="1" si="146"/>
        <v>#VALUE!</v>
      </c>
      <c r="N182" s="69"/>
    </row>
    <row r="183" spans="1:14" ht="15.75" thickBot="1" x14ac:dyDescent="0.3">
      <c r="A183" s="70" t="e">
        <f ca="1">IF(A177&gt;0,INDEX(INDIRECT(F176),7,1),"")</f>
        <v>#VALUE!</v>
      </c>
      <c r="B183" s="71" t="e">
        <f t="shared" ca="1" si="139"/>
        <v>#VALUE!</v>
      </c>
      <c r="C183" s="71" t="e">
        <f t="shared" ca="1" si="140"/>
        <v>#VALUE!</v>
      </c>
      <c r="D183" s="73" t="e">
        <f t="shared" ca="1" si="141"/>
        <v>#VALUE!</v>
      </c>
      <c r="E183" s="94"/>
      <c r="F183" s="225" t="e">
        <f ca="1">IF(F177&gt;0,INDEX(INDIRECT(F176),7,6),"")</f>
        <v>#VALUE!</v>
      </c>
      <c r="G183" s="71" t="e">
        <f t="shared" ca="1" si="142"/>
        <v>#VALUE!</v>
      </c>
      <c r="H183" s="71" t="e">
        <f t="shared" ca="1" si="143"/>
        <v>#VALUE!</v>
      </c>
      <c r="I183" s="93" t="e">
        <f t="shared" ca="1" si="144"/>
        <v>#VALUE!</v>
      </c>
      <c r="J183" s="94"/>
      <c r="K183" s="70" t="e">
        <f ca="1">IF(K177&gt;0,INDEX(INDIRECT(F176),7,11),"")</f>
        <v>#VALUE!</v>
      </c>
      <c r="L183" s="71" t="e">
        <f t="shared" ca="1" si="145"/>
        <v>#VALUE!</v>
      </c>
      <c r="M183" s="72" t="e">
        <f t="shared" ca="1" si="146"/>
        <v>#VALUE!</v>
      </c>
      <c r="N183" s="73"/>
    </row>
    <row r="184" spans="1:14" ht="15.75" thickBot="1" x14ac:dyDescent="0.3"/>
    <row r="185" spans="1:14" ht="19.5" thickBot="1" x14ac:dyDescent="0.35">
      <c r="A185" s="206" t="e">
        <f>IF(RIGHT(A176,2)+1&lt;=$G$2,"День "&amp;RIGHT(A176,2)+1,"")</f>
        <v>#VALUE!</v>
      </c>
      <c r="B185" s="307">
        <f>B176+1</f>
        <v>42115</v>
      </c>
      <c r="C185" s="308"/>
      <c r="F185" s="210" t="e">
        <f>IF(RIGHT(A185,1)+0=0,"День5",IF(RIGHT(A185,1)+0&gt;5,"День"&amp;RIGHT(A185,1)-5,"День"&amp;RIGHT(A185,1)))</f>
        <v>#VALUE!</v>
      </c>
    </row>
    <row r="186" spans="1:14" ht="15.75" thickBot="1" x14ac:dyDescent="0.3">
      <c r="A186" s="119" t="s">
        <v>0</v>
      </c>
      <c r="B186" s="120"/>
      <c r="C186" s="120"/>
      <c r="D186" s="123"/>
      <c r="E186" s="122"/>
      <c r="F186" s="226" t="s">
        <v>10</v>
      </c>
      <c r="G186" s="120"/>
      <c r="H186" s="120"/>
      <c r="I186" s="123"/>
      <c r="J186" s="122"/>
      <c r="K186" s="119" t="s">
        <v>28</v>
      </c>
      <c r="L186" s="120"/>
      <c r="M186" s="124"/>
      <c r="N186" s="121"/>
    </row>
    <row r="187" spans="1:14" x14ac:dyDescent="0.25">
      <c r="A187" s="125" t="e">
        <f ca="1">IF(A186&gt;0,INDEX(INDIRECT(F185),2,1),"")</f>
        <v>#VALUE!</v>
      </c>
      <c r="B187" s="126" t="e">
        <f t="shared" ref="B187:B192" ca="1" si="147">IF($A187&gt;0,INDEX(Продукты,MATCH($A187,INDEX(Продукты,,1),0),2),0)</f>
        <v>#VALUE!</v>
      </c>
      <c r="C187" s="126" t="e">
        <f t="shared" ref="C187:C192" ca="1" si="148">IF($A187&gt;0,INDEX(Продукты,MATCH($A187,INDEX(Продукты,,1),0),3),0)</f>
        <v>#VALUE!</v>
      </c>
      <c r="D187" s="132" t="e">
        <f t="shared" ref="D187:D192" ca="1" si="149">ROUND(C187*$B$2,0)</f>
        <v>#VALUE!</v>
      </c>
      <c r="E187" s="128"/>
      <c r="F187" s="227" t="e">
        <f ca="1">IF(F186&gt;0,INDEX(INDIRECT(F185),2,6),"")</f>
        <v>#VALUE!</v>
      </c>
      <c r="G187" s="126" t="e">
        <f t="shared" ref="G187:G192" ca="1" si="150">IF($F187&gt;0,INDEX(Продукты,MATCH($F187,INDEX(Продукты,,1),0),2),0)</f>
        <v>#VALUE!</v>
      </c>
      <c r="H187" s="126" t="e">
        <f t="shared" ref="H187:H192" ca="1" si="151">IF($F187&gt;0,INDEX(Продукты,MATCH($F187,INDEX(Продукты,,1),0),3),0)</f>
        <v>#VALUE!</v>
      </c>
      <c r="I187" s="127" t="e">
        <f t="shared" ref="I187:I192" ca="1" si="152">H187*$B$2</f>
        <v>#VALUE!</v>
      </c>
      <c r="J187" s="128"/>
      <c r="K187" s="125" t="e">
        <f ca="1">IF(K186&gt;0,INDEX(INDIRECT(F185),2,11),"")</f>
        <v>#VALUE!</v>
      </c>
      <c r="L187" s="126" t="e">
        <f t="shared" ref="L187:L192" ca="1" si="153">IF($K187&gt;0,INDEX(Продукты,MATCH($K187,INDEX(Продукты,,1),0),2),"")</f>
        <v>#VALUE!</v>
      </c>
      <c r="M187" s="131" t="e">
        <f t="shared" ref="M187:M192" ca="1" si="154">IF($K187&gt;0,INDEX(Продукты,MATCH($K187,INDEX(Продукты,,1),0),3),"")</f>
        <v>#VALUE!</v>
      </c>
      <c r="N187" s="132" t="e">
        <f ca="1">M187*$B$2</f>
        <v>#VALUE!</v>
      </c>
    </row>
    <row r="188" spans="1:14" x14ac:dyDescent="0.25">
      <c r="A188" s="133" t="e">
        <f ca="1">IF(A186&gt;0,INDEX(INDIRECT(F185),3,1),"")</f>
        <v>#VALUE!</v>
      </c>
      <c r="B188" s="134" t="e">
        <f t="shared" ca="1" si="147"/>
        <v>#VALUE!</v>
      </c>
      <c r="C188" s="134" t="e">
        <f t="shared" ca="1" si="148"/>
        <v>#VALUE!</v>
      </c>
      <c r="D188" s="139" t="e">
        <f t="shared" ca="1" si="149"/>
        <v>#VALUE!</v>
      </c>
      <c r="E188" s="128"/>
      <c r="F188" s="228" t="e">
        <f ca="1">IF(F186&gt;0,INDEX(INDIRECT(F185),3,6),"")</f>
        <v>#VALUE!</v>
      </c>
      <c r="G188" s="134" t="e">
        <f t="shared" ca="1" si="150"/>
        <v>#VALUE!</v>
      </c>
      <c r="H188" s="134" t="e">
        <f t="shared" ca="1" si="151"/>
        <v>#VALUE!</v>
      </c>
      <c r="I188" s="135" t="e">
        <f t="shared" ca="1" si="152"/>
        <v>#VALUE!</v>
      </c>
      <c r="J188" s="128"/>
      <c r="K188" s="133" t="e">
        <f ca="1">IF(K186&gt;0,INDEX(INDIRECT(F185),3,11),"")</f>
        <v>#VALUE!</v>
      </c>
      <c r="L188" s="134" t="e">
        <f t="shared" ca="1" si="153"/>
        <v>#VALUE!</v>
      </c>
      <c r="M188" s="138" t="e">
        <f t="shared" ca="1" si="154"/>
        <v>#VALUE!</v>
      </c>
      <c r="N188" s="139" t="e">
        <f ca="1">M188*$B$2</f>
        <v>#VALUE!</v>
      </c>
    </row>
    <row r="189" spans="1:14" x14ac:dyDescent="0.25">
      <c r="A189" s="133" t="e">
        <f ca="1">IF(A186&gt;0,INDEX(INDIRECT(F185),4,1),"")</f>
        <v>#VALUE!</v>
      </c>
      <c r="B189" s="134" t="e">
        <f t="shared" ca="1" si="147"/>
        <v>#VALUE!</v>
      </c>
      <c r="C189" s="134" t="e">
        <f t="shared" ca="1" si="148"/>
        <v>#VALUE!</v>
      </c>
      <c r="D189" s="139" t="e">
        <f t="shared" ca="1" si="149"/>
        <v>#VALUE!</v>
      </c>
      <c r="E189" s="128"/>
      <c r="F189" s="228" t="e">
        <f ca="1">IF(F186&gt;0,INDEX(INDIRECT(F185),4,6),"")</f>
        <v>#VALUE!</v>
      </c>
      <c r="G189" s="134" t="e">
        <f t="shared" ca="1" si="150"/>
        <v>#VALUE!</v>
      </c>
      <c r="H189" s="134" t="e">
        <f t="shared" ca="1" si="151"/>
        <v>#VALUE!</v>
      </c>
      <c r="I189" s="135" t="e">
        <f t="shared" ca="1" si="152"/>
        <v>#VALUE!</v>
      </c>
      <c r="J189" s="128"/>
      <c r="K189" s="133" t="e">
        <f ca="1">IF(K186&gt;0,INDEX(INDIRECT(F185),4,11),"")</f>
        <v>#VALUE!</v>
      </c>
      <c r="L189" s="134" t="e">
        <f t="shared" ca="1" si="153"/>
        <v>#VALUE!</v>
      </c>
      <c r="M189" s="177" t="e">
        <f t="shared" ca="1" si="154"/>
        <v>#VALUE!</v>
      </c>
      <c r="N189" s="139" t="e">
        <f ca="1">M189*$B$2</f>
        <v>#VALUE!</v>
      </c>
    </row>
    <row r="190" spans="1:14" x14ac:dyDescent="0.25">
      <c r="A190" s="133" t="e">
        <f ca="1">IF(A186&gt;0,INDEX(INDIRECT(F185),5,1),"")</f>
        <v>#VALUE!</v>
      </c>
      <c r="B190" s="134" t="e">
        <f t="shared" ca="1" si="147"/>
        <v>#VALUE!</v>
      </c>
      <c r="C190" s="134" t="e">
        <f t="shared" ca="1" si="148"/>
        <v>#VALUE!</v>
      </c>
      <c r="D190" s="139" t="e">
        <f t="shared" ca="1" si="149"/>
        <v>#VALUE!</v>
      </c>
      <c r="E190" s="128"/>
      <c r="F190" s="228" t="e">
        <f ca="1">IF(F186&gt;0,INDEX(INDIRECT(F185),5,6),"")</f>
        <v>#VALUE!</v>
      </c>
      <c r="G190" s="134" t="e">
        <f t="shared" ca="1" si="150"/>
        <v>#VALUE!</v>
      </c>
      <c r="H190" s="134" t="e">
        <f t="shared" ca="1" si="151"/>
        <v>#VALUE!</v>
      </c>
      <c r="I190" s="135" t="e">
        <f t="shared" ca="1" si="152"/>
        <v>#VALUE!</v>
      </c>
      <c r="J190" s="128"/>
      <c r="K190" s="133" t="e">
        <f ca="1">IF(K186&gt;0,INDEX(INDIRECT(F185),5,11),"")</f>
        <v>#VALUE!</v>
      </c>
      <c r="L190" s="134" t="e">
        <f t="shared" ca="1" si="153"/>
        <v>#VALUE!</v>
      </c>
      <c r="M190" s="205" t="e">
        <f t="shared" ca="1" si="154"/>
        <v>#VALUE!</v>
      </c>
      <c r="N190" s="139" t="e">
        <f ca="1">M190*$B$2</f>
        <v>#VALUE!</v>
      </c>
    </row>
    <row r="191" spans="1:14" x14ac:dyDescent="0.25">
      <c r="A191" s="133" t="e">
        <f ca="1">IF(A186&gt;0,INDEX(INDIRECT(F185),6,1),"")</f>
        <v>#VALUE!</v>
      </c>
      <c r="B191" s="134" t="e">
        <f t="shared" ca="1" si="147"/>
        <v>#VALUE!</v>
      </c>
      <c r="C191" s="134" t="e">
        <f t="shared" ca="1" si="148"/>
        <v>#VALUE!</v>
      </c>
      <c r="D191" s="139" t="e">
        <f t="shared" ca="1" si="149"/>
        <v>#VALUE!</v>
      </c>
      <c r="E191" s="128"/>
      <c r="F191" s="228" t="e">
        <f ca="1">IF(F186&gt;0,INDEX(INDIRECT(F185),6,6),"")</f>
        <v>#VALUE!</v>
      </c>
      <c r="G191" s="134" t="e">
        <f t="shared" ca="1" si="150"/>
        <v>#VALUE!</v>
      </c>
      <c r="H191" s="134" t="e">
        <f t="shared" ca="1" si="151"/>
        <v>#VALUE!</v>
      </c>
      <c r="I191" s="135" t="e">
        <f t="shared" ca="1" si="152"/>
        <v>#VALUE!</v>
      </c>
      <c r="J191" s="128"/>
      <c r="K191" s="133" t="e">
        <f ca="1">IF(K186&gt;0,INDEX(INDIRECT(F185),6,11),"")</f>
        <v>#VALUE!</v>
      </c>
      <c r="L191" s="134" t="e">
        <f t="shared" ca="1" si="153"/>
        <v>#VALUE!</v>
      </c>
      <c r="M191" s="138" t="e">
        <f t="shared" ca="1" si="154"/>
        <v>#VALUE!</v>
      </c>
      <c r="N191" s="139"/>
    </row>
    <row r="192" spans="1:14" ht="15.75" thickBot="1" x14ac:dyDescent="0.3">
      <c r="A192" s="145" t="e">
        <f ca="1">IF(A186&gt;0,INDEX(INDIRECT(F185),7,1),"")</f>
        <v>#VALUE!</v>
      </c>
      <c r="B192" s="146" t="e">
        <f t="shared" ca="1" si="147"/>
        <v>#VALUE!</v>
      </c>
      <c r="C192" s="146" t="e">
        <f t="shared" ca="1" si="148"/>
        <v>#VALUE!</v>
      </c>
      <c r="D192" s="151" t="e">
        <f t="shared" ca="1" si="149"/>
        <v>#VALUE!</v>
      </c>
      <c r="E192" s="148"/>
      <c r="F192" s="229" t="e">
        <f ca="1">IF(F186&gt;0,INDEX(INDIRECT(F185),7,6),"")</f>
        <v>#VALUE!</v>
      </c>
      <c r="G192" s="146" t="e">
        <f t="shared" ca="1" si="150"/>
        <v>#VALUE!</v>
      </c>
      <c r="H192" s="146" t="e">
        <f t="shared" ca="1" si="151"/>
        <v>#VALUE!</v>
      </c>
      <c r="I192" s="147" t="e">
        <f t="shared" ca="1" si="152"/>
        <v>#VALUE!</v>
      </c>
      <c r="J192" s="148"/>
      <c r="K192" s="145" t="e">
        <f ca="1">IF(K186&gt;0,INDEX(INDIRECT(F185),7,11),"")</f>
        <v>#VALUE!</v>
      </c>
      <c r="L192" s="146" t="e">
        <f t="shared" ca="1" si="153"/>
        <v>#VALUE!</v>
      </c>
      <c r="M192" s="150" t="e">
        <f t="shared" ca="1" si="154"/>
        <v>#VALUE!</v>
      </c>
      <c r="N192" s="151"/>
    </row>
    <row r="193" spans="1:14" ht="15.75" thickBot="1" x14ac:dyDescent="0.3"/>
    <row r="194" spans="1:14" ht="19.5" thickBot="1" x14ac:dyDescent="0.35">
      <c r="A194" s="206" t="e">
        <f>IF(RIGHT(A185,2)+1&lt;=$G$2,"День "&amp;RIGHT(A185,2)+1,"")</f>
        <v>#VALUE!</v>
      </c>
      <c r="B194" s="307">
        <f>B185+1</f>
        <v>42116</v>
      </c>
      <c r="C194" s="308"/>
      <c r="F194" s="210" t="e">
        <f>IF(RIGHT(A194,1)+0=0,"День5",IF(RIGHT(A194,1)+0&gt;5,"День"&amp;RIGHT(A194,1)-5,"День"&amp;RIGHT(A194,1)))</f>
        <v>#VALUE!</v>
      </c>
    </row>
    <row r="195" spans="1:14" ht="15.75" thickBot="1" x14ac:dyDescent="0.3">
      <c r="A195" s="42" t="s">
        <v>0</v>
      </c>
      <c r="B195" s="43"/>
      <c r="C195" s="43"/>
      <c r="D195" s="75"/>
      <c r="E195" s="74"/>
      <c r="F195" s="215" t="s">
        <v>10</v>
      </c>
      <c r="G195" s="43"/>
      <c r="H195" s="43"/>
      <c r="I195" s="75"/>
      <c r="J195" s="74"/>
      <c r="K195" s="42" t="s">
        <v>28</v>
      </c>
      <c r="L195" s="43"/>
      <c r="M195" s="44"/>
      <c r="N195" s="45"/>
    </row>
    <row r="196" spans="1:14" x14ac:dyDescent="0.25">
      <c r="A196" s="46" t="e">
        <f ca="1">IF(A195&gt;0,INDEX(INDIRECT(F194),2,1),"")</f>
        <v>#VALUE!</v>
      </c>
      <c r="B196" s="47" t="e">
        <f t="shared" ref="B196:B201" ca="1" si="155">IF($A196&gt;0,INDEX(Продукты,MATCH($A196,INDEX(Продукты,,1),0),2),0)</f>
        <v>#VALUE!</v>
      </c>
      <c r="C196" s="47" t="e">
        <f t="shared" ref="C196:C201" ca="1" si="156">IF($A196&gt;0,INDEX(Продукты,MATCH($A196,INDEX(Продукты,,1),0),3),0)</f>
        <v>#VALUE!</v>
      </c>
      <c r="D196" s="49" t="e">
        <f t="shared" ref="D196:D201" ca="1" si="157">ROUND(C196*$B$2,0)</f>
        <v>#VALUE!</v>
      </c>
      <c r="E196" s="76"/>
      <c r="F196" s="207" t="e">
        <f ca="1">IF(F195&gt;0,INDEX(INDIRECT(F194),2,6),"")</f>
        <v>#VALUE!</v>
      </c>
      <c r="G196" s="47" t="e">
        <f t="shared" ref="G196:G201" ca="1" si="158">IF($F196&gt;0,INDEX(Продукты,MATCH($F196,INDEX(Продукты,,1),0),2),0)</f>
        <v>#VALUE!</v>
      </c>
      <c r="H196" s="47" t="e">
        <f t="shared" ref="H196:H201" ca="1" si="159">IF($F196&gt;0,INDEX(Продукты,MATCH($F196,INDEX(Продукты,,1),0),3),0)</f>
        <v>#VALUE!</v>
      </c>
      <c r="I196" s="78" t="e">
        <f t="shared" ref="I196:I201" ca="1" si="160">H196*$B$2</f>
        <v>#VALUE!</v>
      </c>
      <c r="J196" s="76"/>
      <c r="K196" s="46" t="e">
        <f ca="1">IF(K195&gt;0,INDEX(INDIRECT(F194),2,11),"")</f>
        <v>#VALUE!</v>
      </c>
      <c r="L196" s="47" t="e">
        <f t="shared" ref="L196:L201" ca="1" si="161">IF($K196&gt;0,INDEX(Продукты,MATCH($K196,INDEX(Продукты,,1),0),2),"")</f>
        <v>#VALUE!</v>
      </c>
      <c r="M196" s="48" t="e">
        <f t="shared" ref="M196:M201" ca="1" si="162">IF($K196&gt;0,INDEX(Продукты,MATCH($K196,INDEX(Продукты,,1),0),3),"")</f>
        <v>#VALUE!</v>
      </c>
      <c r="N196" s="49" t="e">
        <f ca="1">M196*$B$2</f>
        <v>#VALUE!</v>
      </c>
    </row>
    <row r="197" spans="1:14" x14ac:dyDescent="0.25">
      <c r="A197" s="50" t="e">
        <f ca="1">IF(A195&gt;0,INDEX(INDIRECT(F194),3,1),"")</f>
        <v>#VALUE!</v>
      </c>
      <c r="B197" s="51" t="e">
        <f t="shared" ca="1" si="155"/>
        <v>#VALUE!</v>
      </c>
      <c r="C197" s="51" t="e">
        <f t="shared" ca="1" si="156"/>
        <v>#VALUE!</v>
      </c>
      <c r="D197" s="53" t="e">
        <f t="shared" ca="1" si="157"/>
        <v>#VALUE!</v>
      </c>
      <c r="E197" s="76"/>
      <c r="F197" s="216" t="e">
        <f ca="1">IF(F195&gt;0,INDEX(INDIRECT(F194),3,6),"")</f>
        <v>#VALUE!</v>
      </c>
      <c r="G197" s="51" t="e">
        <f t="shared" ca="1" si="158"/>
        <v>#VALUE!</v>
      </c>
      <c r="H197" s="51" t="e">
        <f t="shared" ca="1" si="159"/>
        <v>#VALUE!</v>
      </c>
      <c r="I197" s="80" t="e">
        <f t="shared" ca="1" si="160"/>
        <v>#VALUE!</v>
      </c>
      <c r="J197" s="76"/>
      <c r="K197" s="50" t="e">
        <f ca="1">IF(K195&gt;0,INDEX(INDIRECT(F194),3,11),"")</f>
        <v>#VALUE!</v>
      </c>
      <c r="L197" s="51" t="e">
        <f t="shared" ca="1" si="161"/>
        <v>#VALUE!</v>
      </c>
      <c r="M197" s="52" t="e">
        <f t="shared" ca="1" si="162"/>
        <v>#VALUE!</v>
      </c>
      <c r="N197" s="53" t="e">
        <f ca="1">M197*$B$2</f>
        <v>#VALUE!</v>
      </c>
    </row>
    <row r="198" spans="1:14" x14ac:dyDescent="0.25">
      <c r="A198" s="50" t="e">
        <f ca="1">IF(A195&gt;0,INDEX(INDIRECT(F194),4,1),"")</f>
        <v>#VALUE!</v>
      </c>
      <c r="B198" s="51" t="e">
        <f t="shared" ca="1" si="155"/>
        <v>#VALUE!</v>
      </c>
      <c r="C198" s="51" t="e">
        <f t="shared" ca="1" si="156"/>
        <v>#VALUE!</v>
      </c>
      <c r="D198" s="53" t="e">
        <f t="shared" ca="1" si="157"/>
        <v>#VALUE!</v>
      </c>
      <c r="E198" s="76"/>
      <c r="F198" s="216" t="e">
        <f ca="1">IF(F195&gt;0,INDEX(INDIRECT(F194),4,6),"")</f>
        <v>#VALUE!</v>
      </c>
      <c r="G198" s="51" t="e">
        <f t="shared" ca="1" si="158"/>
        <v>#VALUE!</v>
      </c>
      <c r="H198" s="51" t="e">
        <f t="shared" ca="1" si="159"/>
        <v>#VALUE!</v>
      </c>
      <c r="I198" s="80" t="e">
        <f t="shared" ca="1" si="160"/>
        <v>#VALUE!</v>
      </c>
      <c r="J198" s="76"/>
      <c r="K198" s="50" t="e">
        <f ca="1">IF(K195&gt;0,INDEX(INDIRECT(F194),4,11),"")</f>
        <v>#VALUE!</v>
      </c>
      <c r="L198" s="51" t="e">
        <f t="shared" ca="1" si="161"/>
        <v>#VALUE!</v>
      </c>
      <c r="M198" s="173" t="e">
        <f t="shared" ca="1" si="162"/>
        <v>#VALUE!</v>
      </c>
      <c r="N198" s="53" t="e">
        <f ca="1">M198*$B$2</f>
        <v>#VALUE!</v>
      </c>
    </row>
    <row r="199" spans="1:14" x14ac:dyDescent="0.25">
      <c r="A199" s="50" t="e">
        <f ca="1">IF(A195&gt;0,INDEX(INDIRECT(F194),5,1),"")</f>
        <v>#VALUE!</v>
      </c>
      <c r="B199" s="51" t="e">
        <f t="shared" ca="1" si="155"/>
        <v>#VALUE!</v>
      </c>
      <c r="C199" s="51" t="e">
        <f t="shared" ca="1" si="156"/>
        <v>#VALUE!</v>
      </c>
      <c r="D199" s="53" t="e">
        <f t="shared" ca="1" si="157"/>
        <v>#VALUE!</v>
      </c>
      <c r="E199" s="76"/>
      <c r="F199" s="216" t="e">
        <f ca="1">IF(F195&gt;0,INDEX(INDIRECT(F194),5,6),"")</f>
        <v>#VALUE!</v>
      </c>
      <c r="G199" s="51" t="e">
        <f t="shared" ca="1" si="158"/>
        <v>#VALUE!</v>
      </c>
      <c r="H199" s="51" t="e">
        <f t="shared" ca="1" si="159"/>
        <v>#VALUE!</v>
      </c>
      <c r="I199" s="80" t="e">
        <f t="shared" ca="1" si="160"/>
        <v>#VALUE!</v>
      </c>
      <c r="J199" s="76"/>
      <c r="K199" s="50" t="e">
        <f ca="1">IF(K195&gt;0,INDEX(INDIRECT(F194),5,11),"")</f>
        <v>#VALUE!</v>
      </c>
      <c r="L199" s="51" t="e">
        <f t="shared" ca="1" si="161"/>
        <v>#VALUE!</v>
      </c>
      <c r="M199" s="179" t="e">
        <f t="shared" ca="1" si="162"/>
        <v>#VALUE!</v>
      </c>
      <c r="N199" s="53" t="e">
        <f ca="1">M199*$B$2</f>
        <v>#VALUE!</v>
      </c>
    </row>
    <row r="200" spans="1:14" x14ac:dyDescent="0.25">
      <c r="A200" s="50" t="e">
        <f ca="1">IF(A195&gt;0,INDEX(INDIRECT(F194),6,1),"")</f>
        <v>#VALUE!</v>
      </c>
      <c r="B200" s="51" t="e">
        <f t="shared" ca="1" si="155"/>
        <v>#VALUE!</v>
      </c>
      <c r="C200" s="51" t="e">
        <f t="shared" ca="1" si="156"/>
        <v>#VALUE!</v>
      </c>
      <c r="D200" s="53" t="e">
        <f t="shared" ca="1" si="157"/>
        <v>#VALUE!</v>
      </c>
      <c r="E200" s="76"/>
      <c r="F200" s="216" t="e">
        <f ca="1">IF(F195&gt;0,INDEX(INDIRECT(F194),6,6),"")</f>
        <v>#VALUE!</v>
      </c>
      <c r="G200" s="51" t="e">
        <f t="shared" ca="1" si="158"/>
        <v>#VALUE!</v>
      </c>
      <c r="H200" s="51" t="e">
        <f t="shared" ca="1" si="159"/>
        <v>#VALUE!</v>
      </c>
      <c r="I200" s="80" t="e">
        <f t="shared" ca="1" si="160"/>
        <v>#VALUE!</v>
      </c>
      <c r="J200" s="76"/>
      <c r="K200" s="50" t="e">
        <f ca="1">IF(K195&gt;0,INDEX(INDIRECT(F194),6,11),"")</f>
        <v>#VALUE!</v>
      </c>
      <c r="L200" s="51" t="e">
        <f t="shared" ca="1" si="161"/>
        <v>#VALUE!</v>
      </c>
      <c r="M200" s="52" t="e">
        <f t="shared" ca="1" si="162"/>
        <v>#VALUE!</v>
      </c>
      <c r="N200" s="53"/>
    </row>
    <row r="201" spans="1:14" ht="15.75" thickBot="1" x14ac:dyDescent="0.3">
      <c r="A201" s="54" t="e">
        <f ca="1">IF(A195&gt;0,INDEX(INDIRECT(F194),7,1),"")</f>
        <v>#VALUE!</v>
      </c>
      <c r="B201" s="55" t="e">
        <f t="shared" ca="1" si="155"/>
        <v>#VALUE!</v>
      </c>
      <c r="C201" s="55" t="e">
        <f t="shared" ca="1" si="156"/>
        <v>#VALUE!</v>
      </c>
      <c r="D201" s="57" t="e">
        <f t="shared" ca="1" si="157"/>
        <v>#VALUE!</v>
      </c>
      <c r="E201" s="81"/>
      <c r="F201" s="217" t="e">
        <f ca="1">IF(F195&gt;0,INDEX(INDIRECT(F194),7,6),"")</f>
        <v>#VALUE!</v>
      </c>
      <c r="G201" s="55" t="e">
        <f t="shared" ca="1" si="158"/>
        <v>#VALUE!</v>
      </c>
      <c r="H201" s="55" t="e">
        <f t="shared" ca="1" si="159"/>
        <v>#VALUE!</v>
      </c>
      <c r="I201" s="83" t="e">
        <f t="shared" ca="1" si="160"/>
        <v>#VALUE!</v>
      </c>
      <c r="J201" s="81"/>
      <c r="K201" s="54" t="e">
        <f ca="1">IF(K195&gt;0,INDEX(INDIRECT(F194),7,11),"")</f>
        <v>#VALUE!</v>
      </c>
      <c r="L201" s="55" t="e">
        <f t="shared" ca="1" si="161"/>
        <v>#VALUE!</v>
      </c>
      <c r="M201" s="56" t="e">
        <f t="shared" ca="1" si="162"/>
        <v>#VALUE!</v>
      </c>
      <c r="N201" s="57"/>
    </row>
    <row r="202" spans="1:14" ht="15.75" thickBot="1" x14ac:dyDescent="0.3"/>
    <row r="203" spans="1:14" ht="19.5" thickBot="1" x14ac:dyDescent="0.35">
      <c r="A203" s="206" t="e">
        <f>IF(RIGHT(A194,2)+1&lt;=$G$2,"День "&amp;RIGHT(A194,2)+1,"")</f>
        <v>#VALUE!</v>
      </c>
      <c r="B203" s="307">
        <f>B194+1</f>
        <v>42117</v>
      </c>
      <c r="C203" s="308"/>
      <c r="F203" s="210" t="e">
        <f>IF(RIGHT(A203,1)+0=0,"День5",IF(RIGHT(A203,1)+0&gt;5,"День"&amp;RIGHT(A203,1)-5,"День"&amp;RIGHT(A203,1)))</f>
        <v>#VALUE!</v>
      </c>
    </row>
    <row r="204" spans="1:14" ht="15.75" thickBot="1" x14ac:dyDescent="0.3">
      <c r="A204" s="10" t="s">
        <v>0</v>
      </c>
      <c r="B204" s="11"/>
      <c r="C204" s="11"/>
      <c r="D204" s="97"/>
      <c r="E204" s="96"/>
      <c r="F204" s="211" t="s">
        <v>10</v>
      </c>
      <c r="G204" s="11"/>
      <c r="H204" s="11"/>
      <c r="I204" s="97"/>
      <c r="J204" s="96"/>
      <c r="K204" s="10" t="s">
        <v>28</v>
      </c>
      <c r="L204" s="11"/>
      <c r="M204" s="12"/>
      <c r="N204" s="13"/>
    </row>
    <row r="205" spans="1:14" x14ac:dyDescent="0.25">
      <c r="A205" s="14" t="e">
        <f ca="1">IF(A204&gt;0,INDEX(INDIRECT(F203),2,1),"")</f>
        <v>#VALUE!</v>
      </c>
      <c r="B205" s="15" t="e">
        <f t="shared" ref="B205:B210" ca="1" si="163">IF($A205&gt;0,INDEX(Продукты,MATCH($A205,INDEX(Продукты,,1),0),2),0)</f>
        <v>#VALUE!</v>
      </c>
      <c r="C205" s="15" t="e">
        <f t="shared" ref="C205:C210" ca="1" si="164">IF($A205&gt;0,INDEX(Продукты,MATCH($A205,INDEX(Продукты,,1),0),3),0)</f>
        <v>#VALUE!</v>
      </c>
      <c r="D205" s="17" t="e">
        <f t="shared" ref="D205:D210" ca="1" si="165">ROUND(C205*$B$2,0)</f>
        <v>#VALUE!</v>
      </c>
      <c r="E205" s="99"/>
      <c r="F205" s="212" t="e">
        <f ca="1">IF(F204&gt;0,INDEX(INDIRECT(F203),2,6),"")</f>
        <v>#VALUE!</v>
      </c>
      <c r="G205" s="15" t="e">
        <f t="shared" ref="G205:G210" ca="1" si="166">IF($F205&gt;0,INDEX(Продукты,MATCH($F205,INDEX(Продукты,,1),0),2),0)</f>
        <v>#VALUE!</v>
      </c>
      <c r="H205" s="15" t="e">
        <f t="shared" ref="H205:H210" ca="1" si="167">IF($F205&gt;0,INDEX(Продукты,MATCH($F205,INDEX(Продукты,,1),0),3),0)</f>
        <v>#VALUE!</v>
      </c>
      <c r="I205" s="98" t="e">
        <f t="shared" ref="I205:I210" ca="1" si="168">H205*$B$2</f>
        <v>#VALUE!</v>
      </c>
      <c r="J205" s="99"/>
      <c r="K205" s="14" t="e">
        <f ca="1">IF(K204&gt;0,INDEX(INDIRECT(F203),2,11),"")</f>
        <v>#VALUE!</v>
      </c>
      <c r="L205" s="15" t="e">
        <f t="shared" ref="L205:L210" ca="1" si="169">IF($K205&gt;0,INDEX(Продукты,MATCH($K205,INDEX(Продукты,,1),0),2),"")</f>
        <v>#VALUE!</v>
      </c>
      <c r="M205" s="16" t="e">
        <f t="shared" ref="M205:M210" ca="1" si="170">IF($K205&gt;0,INDEX(Продукты,MATCH($K205,INDEX(Продукты,,1),0),3),"")</f>
        <v>#VALUE!</v>
      </c>
      <c r="N205" s="17" t="e">
        <f ca="1">M205*$B$2</f>
        <v>#VALUE!</v>
      </c>
    </row>
    <row r="206" spans="1:14" x14ac:dyDescent="0.25">
      <c r="A206" s="18" t="e">
        <f ca="1">IF(A204&gt;0,INDEX(INDIRECT(F203),3,1),"")</f>
        <v>#VALUE!</v>
      </c>
      <c r="B206" s="19" t="e">
        <f t="shared" ca="1" si="163"/>
        <v>#VALUE!</v>
      </c>
      <c r="C206" s="19" t="e">
        <f t="shared" ca="1" si="164"/>
        <v>#VALUE!</v>
      </c>
      <c r="D206" s="21" t="e">
        <f t="shared" ca="1" si="165"/>
        <v>#VALUE!</v>
      </c>
      <c r="E206" s="99"/>
      <c r="F206" s="213" t="e">
        <f ca="1">IF(F204&gt;0,INDEX(INDIRECT(F203),3,6),"")</f>
        <v>#VALUE!</v>
      </c>
      <c r="G206" s="19" t="e">
        <f t="shared" ca="1" si="166"/>
        <v>#VALUE!</v>
      </c>
      <c r="H206" s="19" t="e">
        <f t="shared" ca="1" si="167"/>
        <v>#VALUE!</v>
      </c>
      <c r="I206" s="102" t="e">
        <f t="shared" ca="1" si="168"/>
        <v>#VALUE!</v>
      </c>
      <c r="J206" s="99"/>
      <c r="K206" s="18" t="e">
        <f ca="1">IF(K204&gt;0,INDEX(INDIRECT(F203),3,11),"")</f>
        <v>#VALUE!</v>
      </c>
      <c r="L206" s="19" t="e">
        <f t="shared" ca="1" si="169"/>
        <v>#VALUE!</v>
      </c>
      <c r="M206" s="20" t="e">
        <f t="shared" ca="1" si="170"/>
        <v>#VALUE!</v>
      </c>
      <c r="N206" s="21" t="e">
        <f ca="1">M206*$B$2</f>
        <v>#VALUE!</v>
      </c>
    </row>
    <row r="207" spans="1:14" x14ac:dyDescent="0.25">
      <c r="A207" s="18" t="e">
        <f ca="1">IF(A204&gt;0,INDEX(INDIRECT(F203),4,1),"")</f>
        <v>#VALUE!</v>
      </c>
      <c r="B207" s="19" t="e">
        <f t="shared" ca="1" si="163"/>
        <v>#VALUE!</v>
      </c>
      <c r="C207" s="19" t="e">
        <f t="shared" ca="1" si="164"/>
        <v>#VALUE!</v>
      </c>
      <c r="D207" s="21" t="e">
        <f t="shared" ca="1" si="165"/>
        <v>#VALUE!</v>
      </c>
      <c r="E207" s="99"/>
      <c r="F207" s="213" t="e">
        <f ca="1">IF(F204&gt;0,INDEX(INDIRECT(F203),4,6),"")</f>
        <v>#VALUE!</v>
      </c>
      <c r="G207" s="19" t="e">
        <f t="shared" ca="1" si="166"/>
        <v>#VALUE!</v>
      </c>
      <c r="H207" s="19" t="e">
        <f t="shared" ca="1" si="167"/>
        <v>#VALUE!</v>
      </c>
      <c r="I207" s="102" t="e">
        <f t="shared" ca="1" si="168"/>
        <v>#VALUE!</v>
      </c>
      <c r="J207" s="99"/>
      <c r="K207" s="18" t="e">
        <f ca="1">IF(K204&gt;0,INDEX(INDIRECT(F203),4,11),"")</f>
        <v>#VALUE!</v>
      </c>
      <c r="L207" s="19" t="e">
        <f t="shared" ca="1" si="169"/>
        <v>#VALUE!</v>
      </c>
      <c r="M207" s="174" t="e">
        <f t="shared" ca="1" si="170"/>
        <v>#VALUE!</v>
      </c>
      <c r="N207" s="21" t="e">
        <f ca="1">M207*$B$2</f>
        <v>#VALUE!</v>
      </c>
    </row>
    <row r="208" spans="1:14" x14ac:dyDescent="0.25">
      <c r="A208" s="18" t="e">
        <f ca="1">IF(A204&gt;0,INDEX(INDIRECT(F203),5,1),"")</f>
        <v>#VALUE!</v>
      </c>
      <c r="B208" s="19" t="e">
        <f t="shared" ca="1" si="163"/>
        <v>#VALUE!</v>
      </c>
      <c r="C208" s="19" t="e">
        <f t="shared" ca="1" si="164"/>
        <v>#VALUE!</v>
      </c>
      <c r="D208" s="21" t="e">
        <f t="shared" ca="1" si="165"/>
        <v>#VALUE!</v>
      </c>
      <c r="E208" s="99"/>
      <c r="F208" s="213" t="e">
        <f ca="1">IF(F204&gt;0,INDEX(INDIRECT(F203),5,6),"")</f>
        <v>#VALUE!</v>
      </c>
      <c r="G208" s="19" t="e">
        <f t="shared" ca="1" si="166"/>
        <v>#VALUE!</v>
      </c>
      <c r="H208" s="19" t="e">
        <f t="shared" ca="1" si="167"/>
        <v>#VALUE!</v>
      </c>
      <c r="I208" s="102" t="e">
        <f t="shared" ca="1" si="168"/>
        <v>#VALUE!</v>
      </c>
      <c r="J208" s="99"/>
      <c r="K208" s="18" t="e">
        <f ca="1">IF(K204&gt;0,INDEX(INDIRECT(F203),5,11),"")</f>
        <v>#VALUE!</v>
      </c>
      <c r="L208" s="19" t="e">
        <f t="shared" ca="1" si="169"/>
        <v>#VALUE!</v>
      </c>
      <c r="M208" s="202" t="e">
        <f t="shared" ca="1" si="170"/>
        <v>#VALUE!</v>
      </c>
      <c r="N208" s="21" t="e">
        <f ca="1">M208*$B$2</f>
        <v>#VALUE!</v>
      </c>
    </row>
    <row r="209" spans="1:14" x14ac:dyDescent="0.25">
      <c r="A209" s="18" t="e">
        <f ca="1">IF(A204&gt;0,INDEX(INDIRECT(F203),6,1),"")</f>
        <v>#VALUE!</v>
      </c>
      <c r="B209" s="19" t="e">
        <f t="shared" ca="1" si="163"/>
        <v>#VALUE!</v>
      </c>
      <c r="C209" s="19" t="e">
        <f t="shared" ca="1" si="164"/>
        <v>#VALUE!</v>
      </c>
      <c r="D209" s="21" t="e">
        <f t="shared" ca="1" si="165"/>
        <v>#VALUE!</v>
      </c>
      <c r="E209" s="99"/>
      <c r="F209" s="213" t="e">
        <f ca="1">IF(F204&gt;0,INDEX(INDIRECT(F203),6,6),"")</f>
        <v>#VALUE!</v>
      </c>
      <c r="G209" s="19" t="e">
        <f t="shared" ca="1" si="166"/>
        <v>#VALUE!</v>
      </c>
      <c r="H209" s="19" t="e">
        <f t="shared" ca="1" si="167"/>
        <v>#VALUE!</v>
      </c>
      <c r="I209" s="102" t="e">
        <f t="shared" ca="1" si="168"/>
        <v>#VALUE!</v>
      </c>
      <c r="J209" s="99"/>
      <c r="K209" s="18" t="e">
        <f ca="1">IF(K204&gt;0,INDEX(INDIRECT(F203),6,11),"")</f>
        <v>#VALUE!</v>
      </c>
      <c r="L209" s="19" t="e">
        <f t="shared" ca="1" si="169"/>
        <v>#VALUE!</v>
      </c>
      <c r="M209" s="20" t="e">
        <f t="shared" ca="1" si="170"/>
        <v>#VALUE!</v>
      </c>
      <c r="N209" s="21"/>
    </row>
    <row r="210" spans="1:14" ht="15.75" thickBot="1" x14ac:dyDescent="0.3">
      <c r="A210" s="22" t="e">
        <f ca="1">IF(A204&gt;0,INDEX(INDIRECT(F203),7,1),"")</f>
        <v>#VALUE!</v>
      </c>
      <c r="B210" s="23" t="e">
        <f t="shared" ca="1" si="163"/>
        <v>#VALUE!</v>
      </c>
      <c r="C210" s="23" t="e">
        <f t="shared" ca="1" si="164"/>
        <v>#VALUE!</v>
      </c>
      <c r="D210" s="25" t="e">
        <f t="shared" ca="1" si="165"/>
        <v>#VALUE!</v>
      </c>
      <c r="E210" s="106"/>
      <c r="F210" s="214" t="e">
        <f ca="1">IF(F204&gt;0,INDEX(INDIRECT(F203),7,6),"")</f>
        <v>#VALUE!</v>
      </c>
      <c r="G210" s="23" t="e">
        <f t="shared" ca="1" si="166"/>
        <v>#VALUE!</v>
      </c>
      <c r="H210" s="23" t="e">
        <f t="shared" ca="1" si="167"/>
        <v>#VALUE!</v>
      </c>
      <c r="I210" s="105" t="e">
        <f t="shared" ca="1" si="168"/>
        <v>#VALUE!</v>
      </c>
      <c r="J210" s="106"/>
      <c r="K210" s="22" t="e">
        <f ca="1">IF(K204&gt;0,INDEX(INDIRECT(F203),7,11),"")</f>
        <v>#VALUE!</v>
      </c>
      <c r="L210" s="23" t="e">
        <f t="shared" ca="1" si="169"/>
        <v>#VALUE!</v>
      </c>
      <c r="M210" s="24" t="e">
        <f t="shared" ca="1" si="170"/>
        <v>#VALUE!</v>
      </c>
      <c r="N210" s="25"/>
    </row>
  </sheetData>
  <mergeCells count="25">
    <mergeCell ref="A4:I12"/>
    <mergeCell ref="K8:N8"/>
    <mergeCell ref="K9:N9"/>
    <mergeCell ref="B149:C149"/>
    <mergeCell ref="B158:C158"/>
    <mergeCell ref="B59:C59"/>
    <mergeCell ref="B68:C68"/>
    <mergeCell ref="B77:C77"/>
    <mergeCell ref="B86:C86"/>
    <mergeCell ref="B95:C95"/>
    <mergeCell ref="B104:C104"/>
    <mergeCell ref="B113:C113"/>
    <mergeCell ref="B122:C122"/>
    <mergeCell ref="B131:C131"/>
    <mergeCell ref="B140:C140"/>
    <mergeCell ref="B14:C14"/>
    <mergeCell ref="B176:C176"/>
    <mergeCell ref="B185:C185"/>
    <mergeCell ref="B194:C194"/>
    <mergeCell ref="B203:C203"/>
    <mergeCell ref="B23:C23"/>
    <mergeCell ref="B32:C32"/>
    <mergeCell ref="B41:C41"/>
    <mergeCell ref="B50:C50"/>
    <mergeCell ref="B167:C167"/>
  </mergeCells>
  <dataValidations count="3">
    <dataValidation type="list" allowBlank="1" showInputMessage="1" showErrorMessage="1" sqref="A24 A33 A42 A51 A60 A69 A78 A87 A96 A105 A114 A123 A132 A141 A150 A159 A195 A168 A177 A186 A204 A15">
      <formula1>Завтрак</formula1>
    </dataValidation>
    <dataValidation type="list" allowBlank="1" showInputMessage="1" showErrorMessage="1" sqref="F24 F33 F42 F51 F60 F69 F78 F87 F96 F105 F114 F123 F132 F141 F150 F159 F195 F168 F177 F186 F204 F15">
      <formula1>обед</formula1>
    </dataValidation>
    <dataValidation type="list" allowBlank="1" showInputMessage="1" showErrorMessage="1" sqref="K24 K33 K42 K51 K60 K69 K78 K87 K96 K105 K114 K123 K132 K141 K150 K159 K195 K168 K177 K186 K204 K15">
      <formula1>ужин</formula1>
    </dataValidation>
  </dataValidations>
  <pageMargins left="0.7" right="0.7" top="0.75" bottom="0.75" header="0.3" footer="0.3"/>
  <pageSetup paperSize="9" scale="52" orientation="portrait" horizontalDpi="4294967294" verticalDpi="0" r:id="rId1"/>
  <rowBreaks count="3" manualBreakCount="3">
    <brk id="76" max="16383" man="1"/>
    <brk id="148" max="16383" man="1"/>
    <brk id="166" max="16383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2"/>
  <sheetViews>
    <sheetView workbookViewId="0">
      <selection activeCell="L41" sqref="L41"/>
    </sheetView>
  </sheetViews>
  <sheetFormatPr defaultRowHeight="15" x14ac:dyDescent="0.25"/>
  <cols>
    <col min="1" max="1" width="29.7109375" style="258" customWidth="1"/>
    <col min="2" max="2" width="13" style="259" bestFit="1" customWidth="1"/>
    <col min="3" max="3" width="13.5703125" style="259" bestFit="1" customWidth="1"/>
    <col min="4" max="4" width="17.140625" style="259" bestFit="1" customWidth="1"/>
    <col min="5" max="5" width="15.28515625" style="259" bestFit="1" customWidth="1"/>
    <col min="6" max="6" width="11.140625" style="259" bestFit="1" customWidth="1"/>
    <col min="7" max="7" width="9.140625" style="259"/>
  </cols>
  <sheetData>
    <row r="1" spans="1:7" ht="15.75" thickBot="1" x14ac:dyDescent="0.3"/>
    <row r="2" spans="1:7" ht="16.5" thickBot="1" x14ac:dyDescent="0.3">
      <c r="D2" s="321" t="s">
        <v>66</v>
      </c>
      <c r="E2" s="322"/>
      <c r="F2" s="323"/>
    </row>
    <row r="3" spans="1:7" ht="16.5" thickBot="1" x14ac:dyDescent="0.3">
      <c r="A3" s="260" t="s">
        <v>62</v>
      </c>
      <c r="B3" s="261" t="s">
        <v>63</v>
      </c>
      <c r="C3" s="262" t="s">
        <v>64</v>
      </c>
      <c r="D3" s="263" t="s">
        <v>65</v>
      </c>
      <c r="E3" s="264" t="s">
        <v>55</v>
      </c>
      <c r="F3" s="296" t="s">
        <v>56</v>
      </c>
      <c r="G3" s="301" t="s">
        <v>77</v>
      </c>
    </row>
    <row r="4" spans="1:7" x14ac:dyDescent="0.25">
      <c r="A4" s="265" t="s">
        <v>49</v>
      </c>
      <c r="B4" s="266"/>
      <c r="C4" s="267"/>
      <c r="D4" s="268"/>
      <c r="E4" s="269"/>
      <c r="F4" s="297"/>
      <c r="G4" s="305"/>
    </row>
    <row r="5" spans="1:7" x14ac:dyDescent="0.25">
      <c r="A5" s="270" t="s">
        <v>50</v>
      </c>
      <c r="B5" s="271"/>
      <c r="C5" s="272"/>
      <c r="D5" s="273"/>
      <c r="E5" s="274"/>
      <c r="F5" s="298"/>
      <c r="G5" s="302"/>
    </row>
    <row r="6" spans="1:7" x14ac:dyDescent="0.25">
      <c r="A6" s="270" t="s">
        <v>51</v>
      </c>
      <c r="B6" s="271"/>
      <c r="C6" s="272"/>
      <c r="D6" s="273"/>
      <c r="E6" s="274"/>
      <c r="F6" s="298"/>
      <c r="G6" s="302"/>
    </row>
    <row r="7" spans="1:7" x14ac:dyDescent="0.25">
      <c r="A7" s="270" t="s">
        <v>52</v>
      </c>
      <c r="B7" s="271"/>
      <c r="C7" s="272"/>
      <c r="D7" s="273"/>
      <c r="E7" s="274"/>
      <c r="F7" s="298"/>
      <c r="G7" s="302"/>
    </row>
    <row r="8" spans="1:7" x14ac:dyDescent="0.25">
      <c r="A8" s="270" t="s">
        <v>53</v>
      </c>
      <c r="B8" s="271"/>
      <c r="C8" s="272"/>
      <c r="D8" s="273"/>
      <c r="E8" s="274"/>
      <c r="F8" s="298"/>
      <c r="G8" s="302"/>
    </row>
    <row r="9" spans="1:7" x14ac:dyDescent="0.25">
      <c r="A9" s="270" t="s">
        <v>54</v>
      </c>
      <c r="B9" s="271"/>
      <c r="C9" s="272"/>
      <c r="D9" s="273"/>
      <c r="E9" s="274"/>
      <c r="F9" s="298"/>
      <c r="G9" s="302"/>
    </row>
    <row r="10" spans="1:7" ht="15.75" thickBot="1" x14ac:dyDescent="0.3">
      <c r="A10" s="275" t="s">
        <v>9</v>
      </c>
      <c r="B10" s="276" t="s">
        <v>7</v>
      </c>
      <c r="C10" s="277">
        <v>8</v>
      </c>
      <c r="D10" s="278">
        <f>'Раскладка Алтай'!$N$11</f>
        <v>864</v>
      </c>
      <c r="E10" s="279"/>
      <c r="F10" s="299"/>
      <c r="G10" s="303"/>
    </row>
    <row r="11" spans="1:7" x14ac:dyDescent="0.25">
      <c r="A11" s="265" t="str">
        <f ca="1">IF('Список продуктов'!E4&gt;0,'Список продуктов'!A4,0)</f>
        <v>4 Злака</v>
      </c>
      <c r="B11" s="280" t="str">
        <f t="shared" ref="B11:B42" ca="1" si="0">IF($A11&gt;0,INDEX(Продукты,MATCH($A11,INDEX(Продукты,,1),0),2),0)</f>
        <v>гр</v>
      </c>
      <c r="C11" s="292">
        <f t="shared" ref="C11:C42" ca="1" si="1">IF($A11&gt;0,INDEX(Продукты,MATCH($A11,INDEX(Продукты,,1),0),3),0)</f>
        <v>60</v>
      </c>
      <c r="D11" s="284">
        <f ca="1">ROUND(C11*Меню!$B$2,0)</f>
        <v>720</v>
      </c>
      <c r="E11" s="285">
        <f ca="1">COUNTIF('Раскладка Алтай'!A:N,Закупка!A11)</f>
        <v>2</v>
      </c>
      <c r="F11" s="300">
        <f t="shared" ref="F11:F72" ca="1" si="2">D11*E11-G11</f>
        <v>1440</v>
      </c>
      <c r="G11" s="304"/>
    </row>
    <row r="12" spans="1:7" x14ac:dyDescent="0.25">
      <c r="A12" s="281" t="str">
        <f ca="1">IF('Список продуктов'!E5&gt;0,'Список продуктов'!A5,0)</f>
        <v>Вермишель</v>
      </c>
      <c r="B12" s="282" t="str">
        <f t="shared" ca="1" si="0"/>
        <v>гр</v>
      </c>
      <c r="C12" s="293">
        <f t="shared" ca="1" si="1"/>
        <v>40</v>
      </c>
      <c r="D12" s="286">
        <f ca="1">ROUND(C12*Меню!$B$2,0)</f>
        <v>480</v>
      </c>
      <c r="E12" s="287">
        <f ca="1">COUNTIF('Раскладка Алтай'!A:N,Закупка!A12)</f>
        <v>2</v>
      </c>
      <c r="F12" s="300">
        <f t="shared" ca="1" si="2"/>
        <v>960</v>
      </c>
      <c r="G12" s="302"/>
    </row>
    <row r="13" spans="1:7" x14ac:dyDescent="0.25">
      <c r="A13" s="281" t="str">
        <f ca="1">IF('Список продуктов'!E6&gt;0,'Список продуктов'!A6,0)</f>
        <v>Гречка завтрак</v>
      </c>
      <c r="B13" s="282" t="str">
        <f t="shared" ca="1" si="0"/>
        <v>гр</v>
      </c>
      <c r="C13" s="293">
        <f t="shared" ca="1" si="1"/>
        <v>65</v>
      </c>
      <c r="D13" s="286">
        <f ca="1">ROUND(C13*Меню!$B$2,0)</f>
        <v>780</v>
      </c>
      <c r="E13" s="287">
        <f ca="1">COUNTIF('Раскладка Алтай'!A:N,Закупка!A13)</f>
        <v>2</v>
      </c>
      <c r="F13" s="300">
        <f t="shared" ca="1" si="2"/>
        <v>1560</v>
      </c>
      <c r="G13" s="302"/>
    </row>
    <row r="14" spans="1:7" x14ac:dyDescent="0.25">
      <c r="A14" s="281" t="str">
        <f ca="1">IF('Список продуктов'!E7&gt;0,'Список продуктов'!A7,0)</f>
        <v>Гречка ужин</v>
      </c>
      <c r="B14" s="282" t="str">
        <f t="shared" ca="1" si="0"/>
        <v>гр</v>
      </c>
      <c r="C14" s="293">
        <f t="shared" ca="1" si="1"/>
        <v>80</v>
      </c>
      <c r="D14" s="286">
        <f ca="1">ROUND(C14*Меню!$B$2,0)</f>
        <v>960</v>
      </c>
      <c r="E14" s="287">
        <f ca="1">COUNTIF('Раскладка Алтай'!A:N,Закупка!A14)</f>
        <v>1</v>
      </c>
      <c r="F14" s="300">
        <f t="shared" ca="1" si="2"/>
        <v>960</v>
      </c>
      <c r="G14" s="302"/>
    </row>
    <row r="15" spans="1:7" x14ac:dyDescent="0.25">
      <c r="A15" s="281" t="str">
        <f ca="1">IF('Список продуктов'!E8&gt;0,'Список продуктов'!A8,0)</f>
        <v>Кар.пюр.</v>
      </c>
      <c r="B15" s="282" t="str">
        <f t="shared" ca="1" si="0"/>
        <v>гр</v>
      </c>
      <c r="C15" s="293">
        <f t="shared" ca="1" si="1"/>
        <v>50</v>
      </c>
      <c r="D15" s="286">
        <f ca="1">ROUND(C15*Меню!$B$2,0)</f>
        <v>600</v>
      </c>
      <c r="E15" s="287">
        <f ca="1">COUNTIF('Раскладка Алтай'!A:N,Закупка!A15)</f>
        <v>2</v>
      </c>
      <c r="F15" s="300">
        <f t="shared" ca="1" si="2"/>
        <v>1200</v>
      </c>
      <c r="G15" s="302"/>
    </row>
    <row r="16" spans="1:7" x14ac:dyDescent="0.25">
      <c r="A16" s="281" t="str">
        <f ca="1">IF('Список продуктов'!E9&gt;0,'Список продуктов'!A9,0)</f>
        <v>Кукурузная каша</v>
      </c>
      <c r="B16" s="282" t="str">
        <f t="shared" ca="1" si="0"/>
        <v>гр</v>
      </c>
      <c r="C16" s="293">
        <f t="shared" ca="1" si="1"/>
        <v>60</v>
      </c>
      <c r="D16" s="286">
        <f ca="1">ROUND(C16*Меню!$B$2,0)</f>
        <v>720</v>
      </c>
      <c r="E16" s="287">
        <f ca="1">COUNTIF('Раскладка Алтай'!A:N,Закупка!A16)</f>
        <v>1</v>
      </c>
      <c r="F16" s="300">
        <f t="shared" ca="1" si="2"/>
        <v>720</v>
      </c>
      <c r="G16" s="302"/>
    </row>
    <row r="17" spans="1:7" x14ac:dyDescent="0.25">
      <c r="A17" s="281" t="str">
        <f ca="1">IF('Список продуктов'!E10&gt;0,'Список продуктов'!A10,0)</f>
        <v>Макароны</v>
      </c>
      <c r="B17" s="282" t="str">
        <f t="shared" ca="1" si="0"/>
        <v>гр</v>
      </c>
      <c r="C17" s="293">
        <f t="shared" ca="1" si="1"/>
        <v>100</v>
      </c>
      <c r="D17" s="286">
        <f ca="1">ROUND(C17*Меню!$B$2,0)</f>
        <v>1200</v>
      </c>
      <c r="E17" s="287">
        <f ca="1">COUNTIF('Раскладка Алтай'!A:N,Закупка!A17)</f>
        <v>2</v>
      </c>
      <c r="F17" s="300">
        <f t="shared" ca="1" si="2"/>
        <v>2400</v>
      </c>
      <c r="G17" s="302"/>
    </row>
    <row r="18" spans="1:7" x14ac:dyDescent="0.25">
      <c r="A18" s="281" t="str">
        <f ca="1">IF('Список продуктов'!E11&gt;0,'Список продуктов'!A11,0)</f>
        <v>Овсянка</v>
      </c>
      <c r="B18" s="282" t="str">
        <f t="shared" ca="1" si="0"/>
        <v>гр</v>
      </c>
      <c r="C18" s="293">
        <f t="shared" ca="1" si="1"/>
        <v>60</v>
      </c>
      <c r="D18" s="286">
        <f ca="1">ROUND(C18*Меню!$B$2,0)</f>
        <v>720</v>
      </c>
      <c r="E18" s="287">
        <f ca="1">COUNTIF('Раскладка Алтай'!A:N,Закупка!A18)</f>
        <v>2</v>
      </c>
      <c r="F18" s="300">
        <f t="shared" ca="1" si="2"/>
        <v>1440</v>
      </c>
      <c r="G18" s="302"/>
    </row>
    <row r="19" spans="1:7" x14ac:dyDescent="0.25">
      <c r="A19" s="281" t="str">
        <f ca="1">IF('Список продуктов'!E12&gt;0,'Список продуктов'!A12,0)</f>
        <v>Перловка</v>
      </c>
      <c r="B19" s="282" t="str">
        <f t="shared" ca="1" si="0"/>
        <v>гр</v>
      </c>
      <c r="C19" s="293">
        <f t="shared" ca="1" si="1"/>
        <v>80</v>
      </c>
      <c r="D19" s="286">
        <f ca="1">ROUND(C19*Меню!$B$2,0)</f>
        <v>960</v>
      </c>
      <c r="E19" s="287">
        <f ca="1">COUNTIF('Раскладка Алтай'!A:N,Закупка!A19)</f>
        <v>1</v>
      </c>
      <c r="F19" s="300">
        <f t="shared" ca="1" si="2"/>
        <v>960</v>
      </c>
      <c r="G19" s="302"/>
    </row>
    <row r="20" spans="1:7" x14ac:dyDescent="0.25">
      <c r="A20" s="281" t="str">
        <f ca="1">IF('Список продуктов'!E13&gt;0,'Список продуктов'!A13,0)</f>
        <v>Пшенка</v>
      </c>
      <c r="B20" s="282" t="str">
        <f t="shared" ca="1" si="0"/>
        <v>гр</v>
      </c>
      <c r="C20" s="293">
        <f t="shared" ca="1" si="1"/>
        <v>60</v>
      </c>
      <c r="D20" s="286">
        <f ca="1">ROUND(C20*Меню!$B$2,0)</f>
        <v>720</v>
      </c>
      <c r="E20" s="287">
        <f ca="1">COUNTIF('Раскладка Алтай'!A:N,Закупка!A20)</f>
        <v>2</v>
      </c>
      <c r="F20" s="300">
        <f t="shared" ca="1" si="2"/>
        <v>1440</v>
      </c>
      <c r="G20" s="302"/>
    </row>
    <row r="21" spans="1:7" x14ac:dyDescent="0.25">
      <c r="A21" s="281" t="str">
        <f ca="1">IF('Список продуктов'!E14&gt;0,'Список продуктов'!A14,0)</f>
        <v>Рис</v>
      </c>
      <c r="B21" s="282" t="str">
        <f t="shared" ca="1" si="0"/>
        <v>гр</v>
      </c>
      <c r="C21" s="293">
        <f t="shared" ca="1" si="1"/>
        <v>90</v>
      </c>
      <c r="D21" s="286">
        <f ca="1">ROUND(C21*Меню!$B$2,0)</f>
        <v>1080</v>
      </c>
      <c r="E21" s="287">
        <f ca="1">COUNTIF('Раскладка Алтай'!A:N,Закупка!A21)</f>
        <v>2</v>
      </c>
      <c r="F21" s="300">
        <f t="shared" ca="1" si="2"/>
        <v>2160</v>
      </c>
      <c r="G21" s="302"/>
    </row>
    <row r="22" spans="1:7" x14ac:dyDescent="0.25">
      <c r="A22" s="281">
        <f ca="1">IF('Список продуктов'!E15&gt;0,'Список продуктов'!A15,0)</f>
        <v>0</v>
      </c>
      <c r="B22" s="282">
        <f t="shared" ca="1" si="0"/>
        <v>0</v>
      </c>
      <c r="C22" s="293">
        <f t="shared" ca="1" si="1"/>
        <v>0</v>
      </c>
      <c r="D22" s="286">
        <f ca="1">ROUND(C22*Меню!$B$2,0)</f>
        <v>0</v>
      </c>
      <c r="E22" s="287">
        <f ca="1">COUNTIF('Раскладка Алтай'!A:N,Закупка!A22)</f>
        <v>45</v>
      </c>
      <c r="F22" s="300">
        <f t="shared" ca="1" si="2"/>
        <v>0</v>
      </c>
      <c r="G22" s="302"/>
    </row>
    <row r="23" spans="1:7" x14ac:dyDescent="0.25">
      <c r="A23" s="281">
        <f ca="1">IF('Список продуктов'!E16&gt;0,'Список продуктов'!A16,0)</f>
        <v>0</v>
      </c>
      <c r="B23" s="282">
        <f t="shared" ca="1" si="0"/>
        <v>0</v>
      </c>
      <c r="C23" s="293">
        <f t="shared" ca="1" si="1"/>
        <v>0</v>
      </c>
      <c r="D23" s="286">
        <f ca="1">ROUND(C23*Меню!$B$2,0)</f>
        <v>0</v>
      </c>
      <c r="E23" s="287">
        <f ca="1">COUNTIF('Раскладка Алтай'!A:N,Закупка!A23)</f>
        <v>45</v>
      </c>
      <c r="F23" s="300">
        <f t="shared" ca="1" si="2"/>
        <v>0</v>
      </c>
      <c r="G23" s="302"/>
    </row>
    <row r="24" spans="1:7" x14ac:dyDescent="0.25">
      <c r="A24" s="281" t="str">
        <f ca="1">IF('Список продуктов'!E17&gt;0,'Список продуктов'!A17,0)</f>
        <v>Сухофрукты</v>
      </c>
      <c r="B24" s="282" t="str">
        <f t="shared" ca="1" si="0"/>
        <v>гр</v>
      </c>
      <c r="C24" s="293">
        <f t="shared" ca="1" si="1"/>
        <v>20</v>
      </c>
      <c r="D24" s="286">
        <f ca="1">ROUND(C24*Меню!$B$2,0)</f>
        <v>240</v>
      </c>
      <c r="E24" s="287">
        <f ca="1">COUNTIF('Раскладка Алтай'!A:N,Закупка!A24)</f>
        <v>4</v>
      </c>
      <c r="F24" s="300">
        <f t="shared" ca="1" si="2"/>
        <v>960</v>
      </c>
      <c r="G24" s="302"/>
    </row>
    <row r="25" spans="1:7" x14ac:dyDescent="0.25">
      <c r="A25" s="281" t="str">
        <f ca="1">IF('Список продуктов'!E18&gt;0,'Список продуктов'!A18,0)</f>
        <v>Сушеные ягоды</v>
      </c>
      <c r="B25" s="282" t="str">
        <f t="shared" ca="1" si="0"/>
        <v>гр</v>
      </c>
      <c r="C25" s="293">
        <v>10</v>
      </c>
      <c r="D25" s="286">
        <f>ROUND(C25*Меню!$B$2,0)</f>
        <v>120</v>
      </c>
      <c r="E25" s="287">
        <f ca="1">COUNTIF('Раскладка Алтай'!A:N,Закупка!A25)</f>
        <v>5</v>
      </c>
      <c r="F25" s="300">
        <f t="shared" ca="1" si="2"/>
        <v>600</v>
      </c>
      <c r="G25" s="302"/>
    </row>
    <row r="26" spans="1:7" x14ac:dyDescent="0.25">
      <c r="A26" s="281" t="str">
        <f ca="1">IF('Список продуктов'!E19&gt;0,'Список продуктов'!A19,0)</f>
        <v>Сыр плавленый</v>
      </c>
      <c r="B26" s="282" t="str">
        <f t="shared" ca="1" si="0"/>
        <v>гр</v>
      </c>
      <c r="C26" s="293">
        <f t="shared" ca="1" si="1"/>
        <v>35</v>
      </c>
      <c r="D26" s="286">
        <f ca="1">ROUND(C26*Меню!$B$2,0)</f>
        <v>420</v>
      </c>
      <c r="E26" s="287">
        <f ca="1">COUNTIF('Раскладка Алтай'!A:N,Закупка!A26)</f>
        <v>2</v>
      </c>
      <c r="F26" s="300">
        <f t="shared" ca="1" si="2"/>
        <v>840</v>
      </c>
      <c r="G26" s="302"/>
    </row>
    <row r="27" spans="1:7" x14ac:dyDescent="0.25">
      <c r="A27" s="281" t="str">
        <f ca="1">IF('Список продуктов'!E20&gt;0,'Список продуктов'!A20,0)</f>
        <v>Сырокопченая колбаса</v>
      </c>
      <c r="B27" s="282" t="str">
        <f t="shared" ca="1" si="0"/>
        <v>гр</v>
      </c>
      <c r="C27" s="293">
        <f t="shared" ca="1" si="1"/>
        <v>50</v>
      </c>
      <c r="D27" s="286">
        <f ca="1">ROUND(C27*Меню!$B$2,0)</f>
        <v>600</v>
      </c>
      <c r="E27" s="287">
        <f ca="1">COUNTIF('Раскладка Алтай'!A:N,Закупка!A27)</f>
        <v>5</v>
      </c>
      <c r="F27" s="300">
        <f t="shared" ca="1" si="2"/>
        <v>3000</v>
      </c>
      <c r="G27" s="302"/>
    </row>
    <row r="28" spans="1:7" x14ac:dyDescent="0.25">
      <c r="A28" s="281" t="str">
        <f ca="1">IF('Список продуктов'!E21&gt;0,'Список продуктов'!A21,0)</f>
        <v>Вафельный торт</v>
      </c>
      <c r="B28" s="282" t="str">
        <f t="shared" ca="1" si="0"/>
        <v>шт</v>
      </c>
      <c r="C28" s="294">
        <f t="shared" ca="1" si="1"/>
        <v>0.1111111111111111</v>
      </c>
      <c r="D28" s="286">
        <f ca="1">ROUND(C28*Меню!$B$2,0)</f>
        <v>1</v>
      </c>
      <c r="E28" s="287">
        <f ca="1">COUNTIF('Раскладка Алтай'!A:N,Закупка!A28)</f>
        <v>1</v>
      </c>
      <c r="F28" s="300">
        <f t="shared" ca="1" si="2"/>
        <v>1</v>
      </c>
      <c r="G28" s="302"/>
    </row>
    <row r="29" spans="1:7" x14ac:dyDescent="0.25">
      <c r="A29" s="281" t="str">
        <f ca="1">IF('Список продуктов'!E22&gt;0,'Список продуктов'!A22,0)</f>
        <v>Кит-Кат</v>
      </c>
      <c r="B29" s="282" t="str">
        <f t="shared" ca="1" si="0"/>
        <v>шт</v>
      </c>
      <c r="C29" s="293">
        <f t="shared" ca="1" si="1"/>
        <v>1</v>
      </c>
      <c r="D29" s="286">
        <f ca="1">ROUND(C29*Меню!$B$2,0)</f>
        <v>12</v>
      </c>
      <c r="E29" s="287">
        <f ca="1">COUNTIF('Раскладка Алтай'!A:N,Закупка!A29)</f>
        <v>1</v>
      </c>
      <c r="F29" s="300">
        <f t="shared" ca="1" si="2"/>
        <v>12</v>
      </c>
      <c r="G29" s="302"/>
    </row>
    <row r="30" spans="1:7" x14ac:dyDescent="0.25">
      <c r="A30" s="281">
        <f ca="1">IF('Список продуктов'!E23&gt;0,'Список продуктов'!A23,0)</f>
        <v>0</v>
      </c>
      <c r="B30" s="282">
        <f t="shared" ca="1" si="0"/>
        <v>0</v>
      </c>
      <c r="C30" s="293">
        <f t="shared" ca="1" si="1"/>
        <v>0</v>
      </c>
      <c r="D30" s="286">
        <f ca="1">ROUND(C30*Меню!$B$2,0)</f>
        <v>0</v>
      </c>
      <c r="E30" s="287">
        <f ca="1">COUNTIF('Раскладка Алтай'!A:N,Закупка!A30)</f>
        <v>45</v>
      </c>
      <c r="F30" s="300">
        <f t="shared" ca="1" si="2"/>
        <v>0</v>
      </c>
      <c r="G30" s="302"/>
    </row>
    <row r="31" spans="1:7" x14ac:dyDescent="0.25">
      <c r="A31" s="281" t="str">
        <f ca="1">IF('Список продуктов'!E24&gt;0,'Список продуктов'!A24,0)</f>
        <v>Лук</v>
      </c>
      <c r="B31" s="282" t="str">
        <f t="shared" ca="1" si="0"/>
        <v>шт</v>
      </c>
      <c r="C31" s="294">
        <f t="shared" ca="1" si="1"/>
        <v>0.25</v>
      </c>
      <c r="D31" s="286">
        <f ca="1">ROUND(C31*Меню!$B$2,0)</f>
        <v>3</v>
      </c>
      <c r="E31" s="287">
        <f ca="1">COUNTIF('Раскладка Алтай'!A:N,Закупка!A31)</f>
        <v>5</v>
      </c>
      <c r="F31" s="300">
        <f t="shared" ca="1" si="2"/>
        <v>15</v>
      </c>
      <c r="G31" s="302"/>
    </row>
    <row r="32" spans="1:7" x14ac:dyDescent="0.25">
      <c r="A32" s="281" t="str">
        <f ca="1">IF('Список продуктов'!E25&gt;0,'Список продуктов'!A25,0)</f>
        <v>Марс</v>
      </c>
      <c r="B32" s="282" t="str">
        <f t="shared" ca="1" si="0"/>
        <v>шт</v>
      </c>
      <c r="C32" s="293">
        <f t="shared" ca="1" si="1"/>
        <v>1</v>
      </c>
      <c r="D32" s="286">
        <f ca="1">ROUND(C32*Меню!$B$2,0)</f>
        <v>12</v>
      </c>
      <c r="E32" s="287">
        <f ca="1">COUNTIF('Раскладка Алтай'!A:N,Закупка!A32)</f>
        <v>2</v>
      </c>
      <c r="F32" s="300">
        <f t="shared" ca="1" si="2"/>
        <v>24</v>
      </c>
      <c r="G32" s="302"/>
    </row>
    <row r="33" spans="1:7" x14ac:dyDescent="0.25">
      <c r="A33" s="281" t="str">
        <f ca="1">IF('Список продуктов'!E26&gt;0,'Список продуктов'!A26,0)</f>
        <v>Натс</v>
      </c>
      <c r="B33" s="282" t="str">
        <f t="shared" ca="1" si="0"/>
        <v>шт</v>
      </c>
      <c r="C33" s="293">
        <f t="shared" ca="1" si="1"/>
        <v>1</v>
      </c>
      <c r="D33" s="286">
        <f ca="1">ROUND(C33*Меню!$B$2,0)</f>
        <v>12</v>
      </c>
      <c r="E33" s="287">
        <f ca="1">COUNTIF('Раскладка Алтай'!A:N,Закупка!A33)</f>
        <v>2</v>
      </c>
      <c r="F33" s="300">
        <f t="shared" ca="1" si="2"/>
        <v>24</v>
      </c>
      <c r="G33" s="302"/>
    </row>
    <row r="34" spans="1:7" x14ac:dyDescent="0.25">
      <c r="A34" s="281" t="str">
        <f ca="1">IF('Список продуктов'!E27&gt;0,'Список продуктов'!A27,0)</f>
        <v>Овсяное печенье</v>
      </c>
      <c r="B34" s="282" t="str">
        <f t="shared" ca="1" si="0"/>
        <v>шт</v>
      </c>
      <c r="C34" s="293">
        <f t="shared" ca="1" si="1"/>
        <v>2</v>
      </c>
      <c r="D34" s="286">
        <f ca="1">ROUND(C34*Меню!$B$2,0)</f>
        <v>24</v>
      </c>
      <c r="E34" s="287">
        <f ca="1">COUNTIF('Раскладка Алтай'!A:N,Закупка!A34)</f>
        <v>1</v>
      </c>
      <c r="F34" s="300">
        <f t="shared" ca="1" si="2"/>
        <v>24</v>
      </c>
      <c r="G34" s="302"/>
    </row>
    <row r="35" spans="1:7" x14ac:dyDescent="0.25">
      <c r="A35" s="281" t="str">
        <f ca="1">IF('Список продуктов'!E28&gt;0,'Список продуктов'!A28,0)</f>
        <v>Пастила</v>
      </c>
      <c r="B35" s="282" t="str">
        <f t="shared" ca="1" si="0"/>
        <v>шт</v>
      </c>
      <c r="C35" s="293">
        <f t="shared" ca="1" si="1"/>
        <v>2</v>
      </c>
      <c r="D35" s="286">
        <f ca="1">ROUND(C35*Меню!$B$2,0)</f>
        <v>24</v>
      </c>
      <c r="E35" s="287">
        <f ca="1">COUNTIF('Раскладка Алтай'!A:N,Закупка!A35)</f>
        <v>2</v>
      </c>
      <c r="F35" s="300">
        <f t="shared" ca="1" si="2"/>
        <v>48</v>
      </c>
      <c r="G35" s="302"/>
    </row>
    <row r="36" spans="1:7" x14ac:dyDescent="0.25">
      <c r="A36" s="281" t="str">
        <f ca="1">IF('Список продуктов'!E29&gt;0,'Список продуктов'!A29,0)</f>
        <v>Паштет</v>
      </c>
      <c r="B36" s="282" t="str">
        <f t="shared" ca="1" si="0"/>
        <v>шт</v>
      </c>
      <c r="C36" s="294">
        <f t="shared" ca="1" si="1"/>
        <v>0.33333333333333331</v>
      </c>
      <c r="D36" s="286">
        <f ca="1">ROUND(C36*Меню!$B$2,0)</f>
        <v>4</v>
      </c>
      <c r="E36" s="287">
        <f ca="1">COUNTIF('Раскладка Алтай'!A:N,Закупка!A36)</f>
        <v>4</v>
      </c>
      <c r="F36" s="300">
        <f t="shared" ca="1" si="2"/>
        <v>16</v>
      </c>
      <c r="G36" s="302"/>
    </row>
    <row r="37" spans="1:7" x14ac:dyDescent="0.25">
      <c r="A37" s="281" t="str">
        <f ca="1">IF('Список продуктов'!E30&gt;0,'Список продуктов'!A30,0)</f>
        <v>Печенье пачка</v>
      </c>
      <c r="B37" s="282" t="str">
        <f t="shared" ca="1" si="0"/>
        <v>шт</v>
      </c>
      <c r="C37" s="293">
        <f t="shared" ca="1" si="1"/>
        <v>0.5</v>
      </c>
      <c r="D37" s="286">
        <f ca="1">ROUND(C37*Меню!$B$2,0)</f>
        <v>6</v>
      </c>
      <c r="E37" s="287">
        <f ca="1">COUNTIF('Раскладка Алтай'!A:N,Закупка!A37)</f>
        <v>2</v>
      </c>
      <c r="F37" s="300">
        <f t="shared" ca="1" si="2"/>
        <v>12</v>
      </c>
      <c r="G37" s="302"/>
    </row>
    <row r="38" spans="1:7" x14ac:dyDescent="0.25">
      <c r="A38" s="281" t="str">
        <f ca="1">IF('Список продуктов'!E31&gt;0,'Список продуктов'!A31,0)</f>
        <v>Пик-Ник</v>
      </c>
      <c r="B38" s="282" t="str">
        <f t="shared" ca="1" si="0"/>
        <v>шт</v>
      </c>
      <c r="C38" s="293">
        <f t="shared" ca="1" si="1"/>
        <v>1</v>
      </c>
      <c r="D38" s="286">
        <f ca="1">ROUND(C38*Меню!$B$2,0)</f>
        <v>12</v>
      </c>
      <c r="E38" s="287">
        <f ca="1">COUNTIF('Раскладка Алтай'!A:N,Закупка!A38)</f>
        <v>1</v>
      </c>
      <c r="F38" s="300">
        <f t="shared" ca="1" si="2"/>
        <v>12</v>
      </c>
      <c r="G38" s="302"/>
    </row>
    <row r="39" spans="1:7" x14ac:dyDescent="0.25">
      <c r="A39" s="281" t="str">
        <f ca="1">IF('Список продуктов'!E32&gt;0,'Список продуктов'!A32,0)</f>
        <v>Пряники</v>
      </c>
      <c r="B39" s="282" t="str">
        <f t="shared" ca="1" si="0"/>
        <v>шт</v>
      </c>
      <c r="C39" s="293">
        <f t="shared" ca="1" si="1"/>
        <v>2</v>
      </c>
      <c r="D39" s="286">
        <f ca="1">ROUND(C39*Меню!$B$2,0)</f>
        <v>24</v>
      </c>
      <c r="E39" s="287">
        <f ca="1">COUNTIF('Раскладка Алтай'!A:N,Закупка!A39)</f>
        <v>2</v>
      </c>
      <c r="F39" s="300">
        <f t="shared" ca="1" si="2"/>
        <v>48</v>
      </c>
      <c r="G39" s="302"/>
    </row>
    <row r="40" spans="1:7" x14ac:dyDescent="0.25">
      <c r="A40" s="281" t="str">
        <f ca="1">IF('Список продуктов'!E33&gt;0,'Список продуктов'!A33,0)</f>
        <v>Рыбные консервы</v>
      </c>
      <c r="B40" s="282" t="str">
        <f t="shared" ca="1" si="0"/>
        <v>шт</v>
      </c>
      <c r="C40" s="294">
        <f t="shared" ca="1" si="1"/>
        <v>0.44444444444444442</v>
      </c>
      <c r="D40" s="286">
        <f ca="1">ROUND(C40*Меню!$B$2,0)</f>
        <v>5</v>
      </c>
      <c r="E40" s="287">
        <f ca="1">COUNTIF('Раскладка Алтай'!A:N,Закупка!A40)</f>
        <v>2</v>
      </c>
      <c r="F40" s="300">
        <f t="shared" ca="1" si="2"/>
        <v>10</v>
      </c>
      <c r="G40" s="302"/>
    </row>
    <row r="41" spans="1:7" x14ac:dyDescent="0.25">
      <c r="A41" s="281" t="str">
        <f ca="1">IF('Список продуктов'!E34&gt;0,'Список продуктов'!A34,0)</f>
        <v>Смесь Cykoria овощная сухая</v>
      </c>
      <c r="B41" s="282" t="str">
        <f t="shared" ca="1" si="0"/>
        <v>шт</v>
      </c>
      <c r="C41" s="294">
        <f t="shared" ca="1" si="1"/>
        <v>8.3333333333333329E-2</v>
      </c>
      <c r="D41" s="286">
        <f ca="1">ROUND(C41*Меню!$B$2,0)</f>
        <v>1</v>
      </c>
      <c r="E41" s="287">
        <f ca="1">COUNTIF('Раскладка Алтай'!A:N,Закупка!A41)</f>
        <v>7</v>
      </c>
      <c r="F41" s="300">
        <f t="shared" ca="1" si="2"/>
        <v>7</v>
      </c>
      <c r="G41" s="302"/>
    </row>
    <row r="42" spans="1:7" x14ac:dyDescent="0.25">
      <c r="A42" s="281" t="str">
        <f ca="1">IF('Список продуктов'!E35&gt;0,'Список продуктов'!A35,0)</f>
        <v>Сникерс</v>
      </c>
      <c r="B42" s="282" t="str">
        <f t="shared" ca="1" si="0"/>
        <v>шт</v>
      </c>
      <c r="C42" s="293">
        <f t="shared" ca="1" si="1"/>
        <v>1</v>
      </c>
      <c r="D42" s="286">
        <f ca="1">ROUND(C42*Меню!$B$2,0)</f>
        <v>12</v>
      </c>
      <c r="E42" s="287">
        <f ca="1">COUNTIF('Раскладка Алтай'!A:N,Закупка!A42)</f>
        <v>2</v>
      </c>
      <c r="F42" s="300">
        <f t="shared" ca="1" si="2"/>
        <v>24</v>
      </c>
      <c r="G42" s="302"/>
    </row>
    <row r="43" spans="1:7" ht="30" x14ac:dyDescent="0.25">
      <c r="A43" s="281" t="str">
        <f ca="1">IF('Список продуктов'!E36&gt;0,'Список продуктов'!A36,0)</f>
        <v>Суп русский продукт
Борщ</v>
      </c>
      <c r="B43" s="282" t="str">
        <f t="shared" ref="B43:B72" ca="1" si="3">IF($A43&gt;0,INDEX(Продукты,MATCH($A43,INDEX(Продукты,,1),0),2),0)</f>
        <v>шт</v>
      </c>
      <c r="C43" s="293">
        <f t="shared" ref="C43:C72" ca="1" si="4">IF($A43&gt;0,INDEX(Продукты,MATCH($A43,INDEX(Продукты,,1),0),3),0)</f>
        <v>0.5</v>
      </c>
      <c r="D43" s="286">
        <f ca="1">ROUND(C43*Меню!$B$2,0)</f>
        <v>6</v>
      </c>
      <c r="E43" s="287">
        <f ca="1">COUNTIF('Раскладка Алтай'!A:N,Закупка!A43)</f>
        <v>2</v>
      </c>
      <c r="F43" s="300">
        <f t="shared" ca="1" si="2"/>
        <v>-3</v>
      </c>
      <c r="G43" s="302">
        <v>15</v>
      </c>
    </row>
    <row r="44" spans="1:7" ht="30" x14ac:dyDescent="0.25">
      <c r="A44" s="281" t="str">
        <f ca="1">IF('Список продуктов'!E37&gt;0,'Список продуктов'!A37,0)</f>
        <v>Суп русский продукт
Куриная лапша</v>
      </c>
      <c r="B44" s="282" t="str">
        <f t="shared" ca="1" si="3"/>
        <v>шт</v>
      </c>
      <c r="C44" s="293">
        <f t="shared" ca="1" si="4"/>
        <v>0.5</v>
      </c>
      <c r="D44" s="286">
        <f ca="1">ROUND(C44*Меню!$B$2,0)</f>
        <v>6</v>
      </c>
      <c r="E44" s="287">
        <f ca="1">COUNTIF('Раскладка Алтай'!A:N,Закупка!A44)</f>
        <v>2</v>
      </c>
      <c r="F44" s="300">
        <f t="shared" ca="1" si="2"/>
        <v>-3</v>
      </c>
      <c r="G44" s="302">
        <v>15</v>
      </c>
    </row>
    <row r="45" spans="1:7" ht="30" x14ac:dyDescent="0.25">
      <c r="A45" s="281" t="str">
        <f ca="1">IF('Список продуктов'!E38&gt;0,'Список продуктов'!A38,0)</f>
        <v>Суп русский продукт
Куриный</v>
      </c>
      <c r="B45" s="282" t="str">
        <f t="shared" ca="1" si="3"/>
        <v>шт</v>
      </c>
      <c r="C45" s="293">
        <f t="shared" ca="1" si="4"/>
        <v>0.5</v>
      </c>
      <c r="D45" s="286">
        <f ca="1">ROUND(C45*Меню!$B$2,0)</f>
        <v>6</v>
      </c>
      <c r="E45" s="287">
        <f ca="1">COUNTIF('Раскладка Алтай'!A:N,Закупка!A45)</f>
        <v>1</v>
      </c>
      <c r="F45" s="300">
        <f t="shared" ca="1" si="2"/>
        <v>6</v>
      </c>
      <c r="G45" s="302"/>
    </row>
    <row r="46" spans="1:7" ht="30" x14ac:dyDescent="0.25">
      <c r="A46" s="281" t="str">
        <f ca="1">IF('Список продуктов'!E39&gt;0,'Список продуктов'!A39,0)</f>
        <v>Суп русский продукт
Мясной</v>
      </c>
      <c r="B46" s="282" t="str">
        <f t="shared" ca="1" si="3"/>
        <v>шт</v>
      </c>
      <c r="C46" s="293">
        <f t="shared" ca="1" si="4"/>
        <v>0.5</v>
      </c>
      <c r="D46" s="286">
        <f ca="1">ROUND(C46*Меню!$B$2,0)</f>
        <v>6</v>
      </c>
      <c r="E46" s="287">
        <f ca="1">COUNTIF('Раскладка Алтай'!A:N,Закупка!A46)</f>
        <v>2</v>
      </c>
      <c r="F46" s="300">
        <f ca="1">D46*E46-G46</f>
        <v>-3</v>
      </c>
      <c r="G46" s="302">
        <v>15</v>
      </c>
    </row>
    <row r="47" spans="1:7" ht="30" x14ac:dyDescent="0.25">
      <c r="A47" s="281" t="str">
        <f ca="1">IF('Список продуктов'!E40&gt;0,'Список продуктов'!A40,0)</f>
        <v>Суп русский продукт
Харчо</v>
      </c>
      <c r="B47" s="282" t="str">
        <f t="shared" ca="1" si="3"/>
        <v>шт</v>
      </c>
      <c r="C47" s="293">
        <f t="shared" ca="1" si="4"/>
        <v>0.5</v>
      </c>
      <c r="D47" s="286">
        <f ca="1">ROUND(C47*Меню!$B$2,0)</f>
        <v>6</v>
      </c>
      <c r="E47" s="287">
        <f ca="1">COUNTIF('Раскладка Алтай'!A:N,Закупка!A47)</f>
        <v>1</v>
      </c>
      <c r="F47" s="300">
        <f t="shared" ca="1" si="2"/>
        <v>-1</v>
      </c>
      <c r="G47" s="302">
        <v>7</v>
      </c>
    </row>
    <row r="48" spans="1:7" x14ac:dyDescent="0.25">
      <c r="A48" s="281" t="str">
        <f ca="1">IF('Список продуктов'!E41&gt;0,'Список продуктов'!A41,0)</f>
        <v>Тушенка</v>
      </c>
      <c r="B48" s="282" t="str">
        <f t="shared" ca="1" si="3"/>
        <v>шт</v>
      </c>
      <c r="C48" s="293">
        <f t="shared" ca="1" si="4"/>
        <v>0.2</v>
      </c>
      <c r="D48" s="286">
        <f ca="1">ROUND(C48*Меню!$B$2,0)</f>
        <v>2</v>
      </c>
      <c r="E48" s="287">
        <f ca="1">COUNTIF('Раскладка Алтай'!A:N,Закупка!A48)</f>
        <v>6</v>
      </c>
      <c r="F48" s="300">
        <f t="shared" ca="1" si="2"/>
        <v>-12</v>
      </c>
      <c r="G48" s="302">
        <v>24</v>
      </c>
    </row>
    <row r="49" spans="1:7" x14ac:dyDescent="0.25">
      <c r="A49" s="281">
        <f ca="1">IF('Список продуктов'!E42&gt;0,'Список продуктов'!A42,0)</f>
        <v>0</v>
      </c>
      <c r="B49" s="282">
        <f t="shared" ca="1" si="3"/>
        <v>0</v>
      </c>
      <c r="C49" s="293">
        <f t="shared" ca="1" si="4"/>
        <v>0</v>
      </c>
      <c r="D49" s="286">
        <f ca="1">ROUND(C49*Меню!$B$2,0)</f>
        <v>0</v>
      </c>
      <c r="E49" s="287">
        <f ca="1">COUNTIF('Раскладка Алтай'!A:N,Закупка!A49)</f>
        <v>45</v>
      </c>
      <c r="F49" s="300">
        <f t="shared" ca="1" si="2"/>
        <v>0</v>
      </c>
      <c r="G49" s="302"/>
    </row>
    <row r="50" spans="1:7" x14ac:dyDescent="0.25">
      <c r="A50" s="281" t="str">
        <f ca="1">IF('Список продуктов'!E43&gt;0,'Список продуктов'!A43,0)</f>
        <v>Чеснок</v>
      </c>
      <c r="B50" s="282" t="str">
        <f t="shared" ca="1" si="3"/>
        <v>шт</v>
      </c>
      <c r="C50" s="294">
        <f t="shared" ca="1" si="4"/>
        <v>0.25</v>
      </c>
      <c r="D50" s="288">
        <f ca="1">ROUND(C50*Меню!$B$2,0)</f>
        <v>3</v>
      </c>
      <c r="E50" s="289">
        <f ca="1">COUNTIF('Раскладка Алтай'!A:N,Закупка!A50)</f>
        <v>8</v>
      </c>
      <c r="F50" s="300">
        <f t="shared" ca="1" si="2"/>
        <v>24</v>
      </c>
      <c r="G50" s="302"/>
    </row>
    <row r="51" spans="1:7" x14ac:dyDescent="0.25">
      <c r="A51" s="281" t="str">
        <f ca="1">IF('Список продуктов'!E44&gt;0,'Список продуктов'!A44,0)</f>
        <v>Хлеб куски</v>
      </c>
      <c r="B51" s="282" t="str">
        <f t="shared" ca="1" si="3"/>
        <v>шт</v>
      </c>
      <c r="C51" s="293">
        <f t="shared" ca="1" si="4"/>
        <v>2</v>
      </c>
      <c r="D51" s="288">
        <f ca="1">ROUND(C51*Меню!$B$2,0)</f>
        <v>24</v>
      </c>
      <c r="E51" s="289">
        <f ca="1">COUNTIF('Раскладка Алтай'!A:N,Закупка!A51)</f>
        <v>25</v>
      </c>
      <c r="F51" s="300">
        <f t="shared" ca="1" si="2"/>
        <v>600</v>
      </c>
      <c r="G51" s="302"/>
    </row>
    <row r="52" spans="1:7" x14ac:dyDescent="0.25">
      <c r="A52" s="281" t="str">
        <f ca="1">IF('Список продуктов'!E45&gt;0,'Список продуктов'!A45,0)</f>
        <v>Сгущенка</v>
      </c>
      <c r="B52" s="282" t="str">
        <f t="shared" ca="1" si="3"/>
        <v>гр</v>
      </c>
      <c r="C52" s="293">
        <f t="shared" ca="1" si="4"/>
        <v>50</v>
      </c>
      <c r="D52" s="288">
        <f ca="1">ROUND(C52*Меню!$B$2,0)</f>
        <v>600</v>
      </c>
      <c r="E52" s="289">
        <f ca="1">COUNTIF('Раскладка Алтай'!A:N,Закупка!A52)</f>
        <v>9</v>
      </c>
      <c r="F52" s="300">
        <f t="shared" ca="1" si="2"/>
        <v>5400</v>
      </c>
      <c r="G52" s="302"/>
    </row>
    <row r="53" spans="1:7" x14ac:dyDescent="0.25">
      <c r="A53" s="281" t="str">
        <f ca="1">IF('Список продуктов'!E46&gt;0,'Список продуктов'!A46,0)</f>
        <v>Сыр</v>
      </c>
      <c r="B53" s="282" t="str">
        <f t="shared" ca="1" si="3"/>
        <v>гр</v>
      </c>
      <c r="C53" s="293">
        <f t="shared" ca="1" si="4"/>
        <v>50</v>
      </c>
      <c r="D53" s="288">
        <f ca="1">ROUND(C53*Меню!$B$2,0)</f>
        <v>600</v>
      </c>
      <c r="E53" s="289">
        <f ca="1">COUNTIF('Раскладка Алтай'!A:N,Закупка!A53)</f>
        <v>6</v>
      </c>
      <c r="F53" s="300">
        <f t="shared" ca="1" si="2"/>
        <v>3600</v>
      </c>
      <c r="G53" s="302"/>
    </row>
    <row r="54" spans="1:7" x14ac:dyDescent="0.25">
      <c r="A54" s="281">
        <f ca="1">IF('Список продуктов'!E47&gt;0,'Список продуктов'!A47,0)</f>
        <v>0</v>
      </c>
      <c r="B54" s="282">
        <f t="shared" ca="1" si="3"/>
        <v>0</v>
      </c>
      <c r="C54" s="293">
        <f t="shared" ca="1" si="4"/>
        <v>0</v>
      </c>
      <c r="D54" s="288">
        <f ca="1">ROUND(C54*Меню!$B$2,0)</f>
        <v>0</v>
      </c>
      <c r="E54" s="289">
        <f ca="1">COUNTIF('Раскладка Алтай'!A:N,Закупка!A54)</f>
        <v>45</v>
      </c>
      <c r="F54" s="300">
        <f t="shared" ca="1" si="2"/>
        <v>0</v>
      </c>
      <c r="G54" s="302"/>
    </row>
    <row r="55" spans="1:7" x14ac:dyDescent="0.25">
      <c r="A55" s="281">
        <f ca="1">IF('Список продуктов'!E48&gt;0,'Список продуктов'!A48,0)</f>
        <v>0</v>
      </c>
      <c r="B55" s="282">
        <f t="shared" ca="1" si="3"/>
        <v>0</v>
      </c>
      <c r="C55" s="293">
        <f t="shared" ca="1" si="4"/>
        <v>0</v>
      </c>
      <c r="D55" s="288">
        <f ca="1">ROUND(C55*Меню!$B$2,0)</f>
        <v>0</v>
      </c>
      <c r="E55" s="289">
        <f ca="1">COUNTIF('Раскладка Алтай'!A:N,Закупка!A55)</f>
        <v>45</v>
      </c>
      <c r="F55" s="300">
        <f t="shared" ca="1" si="2"/>
        <v>0</v>
      </c>
      <c r="G55" s="302"/>
    </row>
    <row r="56" spans="1:7" x14ac:dyDescent="0.25">
      <c r="A56" s="281">
        <f ca="1">IF('Список продуктов'!E49&gt;0,'Список продуктов'!A49,0)</f>
        <v>0</v>
      </c>
      <c r="B56" s="282">
        <f t="shared" ca="1" si="3"/>
        <v>0</v>
      </c>
      <c r="C56" s="293">
        <f t="shared" ca="1" si="4"/>
        <v>0</v>
      </c>
      <c r="D56" s="288">
        <f ca="1">ROUND(C56*Меню!$B$2,0)</f>
        <v>0</v>
      </c>
      <c r="E56" s="289">
        <f ca="1">COUNTIF('Раскладка Алтай'!A:N,Закупка!A56)</f>
        <v>45</v>
      </c>
      <c r="F56" s="300">
        <f t="shared" ca="1" si="2"/>
        <v>0</v>
      </c>
      <c r="G56" s="302"/>
    </row>
    <row r="57" spans="1:7" x14ac:dyDescent="0.25">
      <c r="A57" s="281">
        <f ca="1">IF('Список продуктов'!E50&gt;0,'Список продуктов'!A50,0)</f>
        <v>0</v>
      </c>
      <c r="B57" s="282">
        <f t="shared" ca="1" si="3"/>
        <v>0</v>
      </c>
      <c r="C57" s="293">
        <f t="shared" ca="1" si="4"/>
        <v>0</v>
      </c>
      <c r="D57" s="288">
        <f ca="1">ROUND(C57*Меню!$B$2,0)</f>
        <v>0</v>
      </c>
      <c r="E57" s="289">
        <f ca="1">COUNTIF('Раскладка Алтай'!A:N,Закупка!A57)</f>
        <v>45</v>
      </c>
      <c r="F57" s="300">
        <f t="shared" ca="1" si="2"/>
        <v>0</v>
      </c>
      <c r="G57" s="302"/>
    </row>
    <row r="58" spans="1:7" x14ac:dyDescent="0.25">
      <c r="A58" s="281">
        <f ca="1">IF('Список продуктов'!E51&gt;0,'Список продуктов'!A51,0)</f>
        <v>0</v>
      </c>
      <c r="B58" s="282">
        <f t="shared" ca="1" si="3"/>
        <v>0</v>
      </c>
      <c r="C58" s="293">
        <f t="shared" ca="1" si="4"/>
        <v>0</v>
      </c>
      <c r="D58" s="288">
        <f ca="1">ROUND(C58*Меню!$B$2,0)</f>
        <v>0</v>
      </c>
      <c r="E58" s="289">
        <f ca="1">COUNTIF('Раскладка Алтай'!A:N,Закупка!A58)</f>
        <v>45</v>
      </c>
      <c r="F58" s="300">
        <f t="shared" ca="1" si="2"/>
        <v>0</v>
      </c>
      <c r="G58" s="302"/>
    </row>
    <row r="59" spans="1:7" x14ac:dyDescent="0.25">
      <c r="A59" s="281">
        <f ca="1">IF('Список продуктов'!E52&gt;0,'Список продуктов'!A52,0)</f>
        <v>0</v>
      </c>
      <c r="B59" s="282">
        <f t="shared" ca="1" si="3"/>
        <v>0</v>
      </c>
      <c r="C59" s="293">
        <f t="shared" ca="1" si="4"/>
        <v>0</v>
      </c>
      <c r="D59" s="288">
        <f ca="1">ROUND(C59*Меню!$B$2,0)</f>
        <v>0</v>
      </c>
      <c r="E59" s="289">
        <f ca="1">COUNTIF('Раскладка Алтай'!A:N,Закупка!A59)</f>
        <v>45</v>
      </c>
      <c r="F59" s="300">
        <f t="shared" ca="1" si="2"/>
        <v>0</v>
      </c>
      <c r="G59" s="302"/>
    </row>
    <row r="60" spans="1:7" x14ac:dyDescent="0.25">
      <c r="A60" s="281">
        <f ca="1">IF('Список продуктов'!E53&gt;0,'Список продуктов'!A53,0)</f>
        <v>0</v>
      </c>
      <c r="B60" s="282">
        <f t="shared" ca="1" si="3"/>
        <v>0</v>
      </c>
      <c r="C60" s="293">
        <f t="shared" ca="1" si="4"/>
        <v>0</v>
      </c>
      <c r="D60" s="288">
        <f ca="1">ROUND(C60*Меню!$B$2,0)</f>
        <v>0</v>
      </c>
      <c r="E60" s="289">
        <f ca="1">COUNTIF('Раскладка Алтай'!A:N,Закупка!A60)</f>
        <v>45</v>
      </c>
      <c r="F60" s="300">
        <f t="shared" ca="1" si="2"/>
        <v>0</v>
      </c>
      <c r="G60" s="302"/>
    </row>
    <row r="61" spans="1:7" x14ac:dyDescent="0.25">
      <c r="A61" s="281">
        <f ca="1">IF('Список продуктов'!E54&gt;0,'Список продуктов'!A54,0)</f>
        <v>0</v>
      </c>
      <c r="B61" s="282">
        <f t="shared" ca="1" si="3"/>
        <v>0</v>
      </c>
      <c r="C61" s="293">
        <f t="shared" ca="1" si="4"/>
        <v>0</v>
      </c>
      <c r="D61" s="288">
        <f ca="1">ROUND(C61*Меню!$B$2,0)</f>
        <v>0</v>
      </c>
      <c r="E61" s="289">
        <f ca="1">COUNTIF('Раскладка Алтай'!A:N,Закупка!A61)</f>
        <v>45</v>
      </c>
      <c r="F61" s="300">
        <f t="shared" ca="1" si="2"/>
        <v>0</v>
      </c>
      <c r="G61" s="302"/>
    </row>
    <row r="62" spans="1:7" x14ac:dyDescent="0.25">
      <c r="A62" s="281">
        <f ca="1">IF('Список продуктов'!E55&gt;0,'Список продуктов'!A55,0)</f>
        <v>0</v>
      </c>
      <c r="B62" s="282">
        <f t="shared" ca="1" si="3"/>
        <v>0</v>
      </c>
      <c r="C62" s="293">
        <f t="shared" ca="1" si="4"/>
        <v>0</v>
      </c>
      <c r="D62" s="288">
        <f ca="1">ROUND(C62*Меню!$B$2,0)</f>
        <v>0</v>
      </c>
      <c r="E62" s="289">
        <f ca="1">COUNTIF('Раскладка Алтай'!A:N,Закупка!A62)</f>
        <v>45</v>
      </c>
      <c r="F62" s="300">
        <f t="shared" ca="1" si="2"/>
        <v>0</v>
      </c>
      <c r="G62" s="302"/>
    </row>
    <row r="63" spans="1:7" x14ac:dyDescent="0.25">
      <c r="A63" s="281">
        <f ca="1">IF('Список продуктов'!E56&gt;0,'Список продуктов'!A56,0)</f>
        <v>0</v>
      </c>
      <c r="B63" s="282">
        <f t="shared" ca="1" si="3"/>
        <v>0</v>
      </c>
      <c r="C63" s="293">
        <f t="shared" ca="1" si="4"/>
        <v>0</v>
      </c>
      <c r="D63" s="288">
        <f ca="1">ROUND(C63*Меню!$B$2,0)</f>
        <v>0</v>
      </c>
      <c r="E63" s="289">
        <f ca="1">COUNTIF('Раскладка Алтай'!A:N,Закупка!A63)</f>
        <v>45</v>
      </c>
      <c r="F63" s="300">
        <f t="shared" ca="1" si="2"/>
        <v>0</v>
      </c>
      <c r="G63" s="302"/>
    </row>
    <row r="64" spans="1:7" x14ac:dyDescent="0.25">
      <c r="A64" s="281">
        <f ca="1">IF('Список продуктов'!E57&gt;0,'Список продуктов'!A57,0)</f>
        <v>0</v>
      </c>
      <c r="B64" s="282">
        <f t="shared" ca="1" si="3"/>
        <v>0</v>
      </c>
      <c r="C64" s="293">
        <f t="shared" ca="1" si="4"/>
        <v>0</v>
      </c>
      <c r="D64" s="288">
        <f ca="1">ROUND(C64*Меню!$B$2,0)</f>
        <v>0</v>
      </c>
      <c r="E64" s="289">
        <f ca="1">COUNTIF('Раскладка Алтай'!A:N,Закупка!A64)</f>
        <v>45</v>
      </c>
      <c r="F64" s="300">
        <f t="shared" ca="1" si="2"/>
        <v>0</v>
      </c>
      <c r="G64" s="302"/>
    </row>
    <row r="65" spans="1:7" x14ac:dyDescent="0.25">
      <c r="A65" s="281">
        <f ca="1">IF('Список продуктов'!E58&gt;0,'Список продуктов'!A58,0)</f>
        <v>0</v>
      </c>
      <c r="B65" s="282">
        <f t="shared" ca="1" si="3"/>
        <v>0</v>
      </c>
      <c r="C65" s="293">
        <f t="shared" ca="1" si="4"/>
        <v>0</v>
      </c>
      <c r="D65" s="288">
        <f ca="1">ROUND(C65*Меню!$B$2,0)</f>
        <v>0</v>
      </c>
      <c r="E65" s="289">
        <f ca="1">COUNTIF('Раскладка Алтай'!A:N,Закупка!A65)</f>
        <v>45</v>
      </c>
      <c r="F65" s="300">
        <f t="shared" ca="1" si="2"/>
        <v>0</v>
      </c>
      <c r="G65" s="302"/>
    </row>
    <row r="66" spans="1:7" x14ac:dyDescent="0.25">
      <c r="A66" s="281">
        <f ca="1">IF('Список продуктов'!E59&gt;0,'Список продуктов'!A59,0)</f>
        <v>0</v>
      </c>
      <c r="B66" s="282">
        <f t="shared" ca="1" si="3"/>
        <v>0</v>
      </c>
      <c r="C66" s="293">
        <f t="shared" ca="1" si="4"/>
        <v>0</v>
      </c>
      <c r="D66" s="288">
        <f ca="1">ROUND(C66*Меню!$B$2,0)</f>
        <v>0</v>
      </c>
      <c r="E66" s="289">
        <f ca="1">COUNTIF('Раскладка Алтай'!A:N,Закупка!A66)</f>
        <v>45</v>
      </c>
      <c r="F66" s="300">
        <f t="shared" ca="1" si="2"/>
        <v>0</v>
      </c>
      <c r="G66" s="302"/>
    </row>
    <row r="67" spans="1:7" x14ac:dyDescent="0.25">
      <c r="A67" s="281">
        <f ca="1">IF('Список продуктов'!E60&gt;0,'Список продуктов'!A60,0)</f>
        <v>0</v>
      </c>
      <c r="B67" s="282">
        <f t="shared" ca="1" si="3"/>
        <v>0</v>
      </c>
      <c r="C67" s="293">
        <f t="shared" ca="1" si="4"/>
        <v>0</v>
      </c>
      <c r="D67" s="288">
        <f ca="1">ROUND(C67*Меню!$B$2,0)</f>
        <v>0</v>
      </c>
      <c r="E67" s="289">
        <f ca="1">COUNTIF('Раскладка Алтай'!A:N,Закупка!A67)</f>
        <v>45</v>
      </c>
      <c r="F67" s="300">
        <f t="shared" ca="1" si="2"/>
        <v>0</v>
      </c>
      <c r="G67" s="302"/>
    </row>
    <row r="68" spans="1:7" x14ac:dyDescent="0.25">
      <c r="A68" s="281">
        <f ca="1">IF('Список продуктов'!E61&gt;0,'Список продуктов'!A61,0)</f>
        <v>0</v>
      </c>
      <c r="B68" s="282">
        <f t="shared" ca="1" si="3"/>
        <v>0</v>
      </c>
      <c r="C68" s="293">
        <f t="shared" ca="1" si="4"/>
        <v>0</v>
      </c>
      <c r="D68" s="288">
        <f ca="1">ROUND(C68*Меню!$B$2,0)</f>
        <v>0</v>
      </c>
      <c r="E68" s="289">
        <f ca="1">COUNTIF('Раскладка Алтай'!A:N,Закупка!A68)</f>
        <v>45</v>
      </c>
      <c r="F68" s="300">
        <f t="shared" ca="1" si="2"/>
        <v>0</v>
      </c>
      <c r="G68" s="302"/>
    </row>
    <row r="69" spans="1:7" x14ac:dyDescent="0.25">
      <c r="A69" s="281">
        <f ca="1">IF('Список продуктов'!E62&gt;0,'Список продуктов'!A62,0)</f>
        <v>0</v>
      </c>
      <c r="B69" s="282">
        <f t="shared" ca="1" si="3"/>
        <v>0</v>
      </c>
      <c r="C69" s="293">
        <f t="shared" ca="1" si="4"/>
        <v>0</v>
      </c>
      <c r="D69" s="288">
        <f ca="1">ROUND(C69*Меню!$B$2,0)</f>
        <v>0</v>
      </c>
      <c r="E69" s="289">
        <f ca="1">COUNTIF('Раскладка Алтай'!A:N,Закупка!A69)</f>
        <v>45</v>
      </c>
      <c r="F69" s="300">
        <f t="shared" ca="1" si="2"/>
        <v>0</v>
      </c>
      <c r="G69" s="302"/>
    </row>
    <row r="70" spans="1:7" x14ac:dyDescent="0.25">
      <c r="A70" s="281">
        <f ca="1">IF('Список продуктов'!E63&gt;0,'Список продуктов'!A63,0)</f>
        <v>0</v>
      </c>
      <c r="B70" s="282">
        <f t="shared" ca="1" si="3"/>
        <v>0</v>
      </c>
      <c r="C70" s="293">
        <f t="shared" ca="1" si="4"/>
        <v>0</v>
      </c>
      <c r="D70" s="288">
        <f ca="1">ROUND(C70*Меню!$B$2,0)</f>
        <v>0</v>
      </c>
      <c r="E70" s="289">
        <f ca="1">COUNTIF('Раскладка Алтай'!A:N,Закупка!A70)</f>
        <v>45</v>
      </c>
      <c r="F70" s="300">
        <f t="shared" ca="1" si="2"/>
        <v>0</v>
      </c>
      <c r="G70" s="302"/>
    </row>
    <row r="71" spans="1:7" x14ac:dyDescent="0.25">
      <c r="A71" s="281">
        <f ca="1">IF('Список продуктов'!E64&gt;0,'Список продуктов'!A64,0)</f>
        <v>0</v>
      </c>
      <c r="B71" s="282">
        <f t="shared" ca="1" si="3"/>
        <v>0</v>
      </c>
      <c r="C71" s="293">
        <f t="shared" ca="1" si="4"/>
        <v>0</v>
      </c>
      <c r="D71" s="288">
        <f ca="1">ROUND(C71*Меню!$B$2,0)</f>
        <v>0</v>
      </c>
      <c r="E71" s="289">
        <f ca="1">COUNTIF('Раскладка Алтай'!A:N,Закупка!A71)</f>
        <v>45</v>
      </c>
      <c r="F71" s="300">
        <f t="shared" ca="1" si="2"/>
        <v>0</v>
      </c>
      <c r="G71" s="302"/>
    </row>
    <row r="72" spans="1:7" ht="15.75" thickBot="1" x14ac:dyDescent="0.3">
      <c r="A72" s="281">
        <f ca="1">IF('Список продуктов'!E65&gt;0,'Список продуктов'!A65,0)</f>
        <v>0</v>
      </c>
      <c r="B72" s="283">
        <f t="shared" ca="1" si="3"/>
        <v>0</v>
      </c>
      <c r="C72" s="295">
        <f t="shared" ca="1" si="4"/>
        <v>0</v>
      </c>
      <c r="D72" s="290">
        <f ca="1">ROUND(C72*Меню!$B$2,0)</f>
        <v>0</v>
      </c>
      <c r="E72" s="291">
        <f ca="1">COUNTIF('Раскладка Алтай'!A:N,Закупка!A72)</f>
        <v>45</v>
      </c>
      <c r="F72" s="300">
        <f t="shared" ca="1" si="2"/>
        <v>0</v>
      </c>
      <c r="G72" s="303"/>
    </row>
  </sheetData>
  <autoFilter ref="A3:F72"/>
  <mergeCells count="1">
    <mergeCell ref="D2:F2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6"/>
  <sheetViews>
    <sheetView workbookViewId="0">
      <selection activeCell="F49" sqref="F49"/>
    </sheetView>
  </sheetViews>
  <sheetFormatPr defaultRowHeight="15" x14ac:dyDescent="0.25"/>
  <cols>
    <col min="1" max="1" width="27" customWidth="1"/>
    <col min="4" max="4" width="9.5703125" bestFit="1" customWidth="1"/>
    <col min="5" max="5" width="4.5703125" customWidth="1"/>
    <col min="6" max="6" width="30" customWidth="1"/>
    <col min="10" max="10" width="4.28515625" customWidth="1"/>
    <col min="11" max="11" width="28.5703125" customWidth="1"/>
  </cols>
  <sheetData>
    <row r="1" spans="1:16" ht="15.75" thickBot="1" x14ac:dyDescent="0.3">
      <c r="E1" s="5"/>
      <c r="J1" s="5"/>
      <c r="M1" s="1"/>
      <c r="N1" s="2"/>
    </row>
    <row r="2" spans="1:16" ht="15.75" thickBot="1" x14ac:dyDescent="0.3">
      <c r="A2" s="8" t="s">
        <v>46</v>
      </c>
      <c r="B2" s="9">
        <f>'Раскладка Алтай'!B2</f>
        <v>12</v>
      </c>
      <c r="D2" s="2"/>
      <c r="E2" s="5"/>
      <c r="J2" s="5"/>
      <c r="M2" s="1"/>
      <c r="N2" s="2"/>
    </row>
    <row r="3" spans="1:16" x14ac:dyDescent="0.25">
      <c r="A3" s="5"/>
      <c r="B3" s="5"/>
      <c r="D3" s="2"/>
      <c r="E3" s="5"/>
      <c r="F3" s="5"/>
      <c r="G3" s="5"/>
      <c r="J3" s="5"/>
      <c r="M3" s="1"/>
      <c r="N3" s="2"/>
    </row>
    <row r="4" spans="1:16" ht="19.5" thickBot="1" x14ac:dyDescent="0.35">
      <c r="A4" s="3" t="s">
        <v>41</v>
      </c>
      <c r="D4" s="2"/>
      <c r="E4" s="5"/>
      <c r="J4" s="5"/>
      <c r="M4" s="1"/>
      <c r="N4" s="2"/>
      <c r="P4" s="182" t="s">
        <v>67</v>
      </c>
    </row>
    <row r="5" spans="1:16" ht="15.75" thickBot="1" x14ac:dyDescent="0.3">
      <c r="A5" s="42" t="s">
        <v>0</v>
      </c>
      <c r="B5" s="43"/>
      <c r="C5" s="43"/>
      <c r="D5" s="45"/>
      <c r="E5" s="74"/>
      <c r="F5" s="42" t="s">
        <v>10</v>
      </c>
      <c r="G5" s="43"/>
      <c r="H5" s="43"/>
      <c r="I5" s="75"/>
      <c r="J5" s="74"/>
      <c r="K5" s="42" t="s">
        <v>28</v>
      </c>
      <c r="L5" s="43"/>
      <c r="M5" s="44"/>
      <c r="N5" s="45"/>
      <c r="P5" s="181" t="s">
        <v>68</v>
      </c>
    </row>
    <row r="6" spans="1:16" ht="30" x14ac:dyDescent="0.25">
      <c r="A6" s="46" t="s">
        <v>2</v>
      </c>
      <c r="B6" s="47" t="str">
        <f t="shared" ref="B6:B11" si="0">IF($A6&gt;0,INDEX(Продукты,MATCH($A6,INDEX(Продукты,,1),0),2),0)</f>
        <v>гр</v>
      </c>
      <c r="C6" s="47">
        <f t="shared" ref="C6:C11" si="1">IF($A6&gt;0,INDEX(Продукты,MATCH($A6,INDEX(Продукты,,1),0),3),0)</f>
        <v>60</v>
      </c>
      <c r="D6" s="49">
        <f t="shared" ref="D6:D47" si="2">ROUND(C6*$B$2,0)</f>
        <v>720</v>
      </c>
      <c r="E6" s="76"/>
      <c r="F6" s="77" t="s">
        <v>14</v>
      </c>
      <c r="G6" s="47" t="str">
        <f t="shared" ref="G6:G11" si="3">IF($F6&gt;0,INDEX(Продукты,MATCH($F6,INDEX(Продукты,,1),0),2),0)</f>
        <v>шт</v>
      </c>
      <c r="H6" s="47">
        <f t="shared" ref="H6:H11" si="4">IF($F6&gt;0,INDEX(Продукты,MATCH($F6,INDEX(Продукты,,1),0),3),0)</f>
        <v>0.5</v>
      </c>
      <c r="I6" s="78">
        <f>ROUND(H6*$B$2,0)</f>
        <v>6</v>
      </c>
      <c r="J6" s="76"/>
      <c r="K6" s="46" t="s">
        <v>29</v>
      </c>
      <c r="L6" s="47" t="str">
        <f t="shared" ref="L6:L13" si="5">IF($K6&gt;0,INDEX(Продукты,MATCH($K6,INDEX(Продукты,,1),0),2),"")</f>
        <v>гр</v>
      </c>
      <c r="M6" s="48">
        <f t="shared" ref="M6:M13" si="6">IF($K6&gt;0,INDEX(Продукты,MATCH($K6,INDEX(Продукты,,1),0),3),"")</f>
        <v>100</v>
      </c>
      <c r="N6" s="49">
        <f>ROUND(M6*$B$2,0)</f>
        <v>1200</v>
      </c>
      <c r="P6" s="183" t="s">
        <v>69</v>
      </c>
    </row>
    <row r="7" spans="1:16" x14ac:dyDescent="0.25">
      <c r="A7" s="50" t="s">
        <v>3</v>
      </c>
      <c r="B7" s="51" t="str">
        <f t="shared" si="0"/>
        <v>гр</v>
      </c>
      <c r="C7" s="51">
        <f t="shared" si="1"/>
        <v>5</v>
      </c>
      <c r="D7" s="53">
        <f t="shared" si="2"/>
        <v>60</v>
      </c>
      <c r="E7" s="76"/>
      <c r="F7" s="79" t="s">
        <v>15</v>
      </c>
      <c r="G7" s="51" t="str">
        <f t="shared" si="3"/>
        <v>гр</v>
      </c>
      <c r="H7" s="51">
        <f t="shared" si="4"/>
        <v>40</v>
      </c>
      <c r="I7" s="80">
        <f t="shared" ref="I7:I47" si="7">ROUND(H7*$B$2,0)</f>
        <v>480</v>
      </c>
      <c r="J7" s="76"/>
      <c r="K7" s="50" t="s">
        <v>20</v>
      </c>
      <c r="L7" s="51" t="str">
        <f t="shared" si="5"/>
        <v>шт</v>
      </c>
      <c r="M7" s="52">
        <f t="shared" si="6"/>
        <v>0.2</v>
      </c>
      <c r="N7" s="53">
        <f t="shared" ref="N7:N46" si="8">ROUND(M7*$B$2,0)</f>
        <v>2</v>
      </c>
      <c r="P7" s="184" t="s">
        <v>71</v>
      </c>
    </row>
    <row r="8" spans="1:16" x14ac:dyDescent="0.25">
      <c r="A8" s="50" t="s">
        <v>74</v>
      </c>
      <c r="B8" s="51" t="str">
        <f t="shared" si="0"/>
        <v>гр</v>
      </c>
      <c r="C8" s="51">
        <f t="shared" si="1"/>
        <v>50</v>
      </c>
      <c r="D8" s="53">
        <f t="shared" si="2"/>
        <v>600</v>
      </c>
      <c r="E8" s="76"/>
      <c r="F8" s="79" t="s">
        <v>16</v>
      </c>
      <c r="G8" s="51" t="str">
        <f t="shared" si="3"/>
        <v>гр</v>
      </c>
      <c r="H8" s="51">
        <f t="shared" si="4"/>
        <v>50</v>
      </c>
      <c r="I8" s="80">
        <f t="shared" si="7"/>
        <v>600</v>
      </c>
      <c r="J8" s="76"/>
      <c r="K8" s="50" t="s">
        <v>61</v>
      </c>
      <c r="L8" s="51" t="str">
        <f t="shared" si="5"/>
        <v>шт</v>
      </c>
      <c r="M8" s="173">
        <f t="shared" si="6"/>
        <v>2</v>
      </c>
      <c r="N8" s="53">
        <f t="shared" si="8"/>
        <v>24</v>
      </c>
      <c r="P8" s="185" t="s">
        <v>70</v>
      </c>
    </row>
    <row r="9" spans="1:16" x14ac:dyDescent="0.25">
      <c r="A9" s="50" t="s">
        <v>73</v>
      </c>
      <c r="B9" s="51" t="str">
        <f t="shared" si="0"/>
        <v>шт</v>
      </c>
      <c r="C9" s="51">
        <f t="shared" si="1"/>
        <v>2</v>
      </c>
      <c r="D9" s="53">
        <f t="shared" si="2"/>
        <v>24</v>
      </c>
      <c r="E9" s="76"/>
      <c r="F9" s="79" t="s">
        <v>17</v>
      </c>
      <c r="G9" s="51" t="str">
        <f t="shared" si="3"/>
        <v>шт</v>
      </c>
      <c r="H9" s="51">
        <f t="shared" si="4"/>
        <v>1</v>
      </c>
      <c r="I9" s="80">
        <f t="shared" si="7"/>
        <v>12</v>
      </c>
      <c r="J9" s="76"/>
      <c r="K9" s="50" t="s">
        <v>73</v>
      </c>
      <c r="L9" s="51" t="str">
        <f t="shared" si="5"/>
        <v>шт</v>
      </c>
      <c r="M9" s="179">
        <f t="shared" si="6"/>
        <v>2</v>
      </c>
      <c r="N9" s="53">
        <f t="shared" si="8"/>
        <v>24</v>
      </c>
    </row>
    <row r="10" spans="1:16" x14ac:dyDescent="0.25">
      <c r="A10" s="50" t="s">
        <v>8</v>
      </c>
      <c r="B10" s="51" t="str">
        <f t="shared" si="0"/>
        <v>гр</v>
      </c>
      <c r="C10" s="51">
        <f t="shared" si="1"/>
        <v>35</v>
      </c>
      <c r="D10" s="53">
        <f t="shared" si="2"/>
        <v>420</v>
      </c>
      <c r="E10" s="76"/>
      <c r="F10" s="79" t="s">
        <v>73</v>
      </c>
      <c r="G10" s="51" t="str">
        <f t="shared" si="3"/>
        <v>шт</v>
      </c>
      <c r="H10" s="51">
        <f t="shared" si="4"/>
        <v>2</v>
      </c>
      <c r="I10" s="80">
        <f t="shared" si="7"/>
        <v>24</v>
      </c>
      <c r="J10" s="76"/>
      <c r="K10" s="50"/>
      <c r="L10" s="51" t="str">
        <f t="shared" si="5"/>
        <v/>
      </c>
      <c r="M10" s="52" t="str">
        <f t="shared" si="6"/>
        <v/>
      </c>
      <c r="N10" s="53"/>
    </row>
    <row r="11" spans="1:16" ht="15.75" thickBot="1" x14ac:dyDescent="0.3">
      <c r="A11" s="54"/>
      <c r="B11" s="55">
        <f t="shared" si="0"/>
        <v>0</v>
      </c>
      <c r="C11" s="55">
        <f t="shared" si="1"/>
        <v>0</v>
      </c>
      <c r="D11" s="57">
        <f t="shared" si="2"/>
        <v>0</v>
      </c>
      <c r="E11" s="81"/>
      <c r="F11" s="82" t="s">
        <v>19</v>
      </c>
      <c r="G11" s="55" t="str">
        <f t="shared" si="3"/>
        <v>шт</v>
      </c>
      <c r="H11" s="55">
        <f t="shared" si="4"/>
        <v>0.25</v>
      </c>
      <c r="I11" s="83">
        <f t="shared" si="7"/>
        <v>3</v>
      </c>
      <c r="J11" s="81"/>
      <c r="K11" s="54"/>
      <c r="L11" s="55" t="str">
        <f t="shared" si="5"/>
        <v/>
      </c>
      <c r="M11" s="56" t="str">
        <f t="shared" si="6"/>
        <v/>
      </c>
      <c r="N11" s="57"/>
    </row>
    <row r="12" spans="1:16" s="5" customFormat="1" x14ac:dyDescent="0.25">
      <c r="D12" s="6"/>
      <c r="I12" s="6"/>
      <c r="L12" s="5" t="str">
        <f t="shared" si="5"/>
        <v/>
      </c>
      <c r="M12" s="7" t="str">
        <f t="shared" si="6"/>
        <v/>
      </c>
      <c r="N12" s="6"/>
      <c r="P12" s="5" t="s">
        <v>0</v>
      </c>
    </row>
    <row r="13" spans="1:16" s="5" customFormat="1" ht="19.5" thickBot="1" x14ac:dyDescent="0.35">
      <c r="A13" s="3" t="s">
        <v>42</v>
      </c>
      <c r="D13" s="6"/>
      <c r="I13" s="6"/>
      <c r="L13" s="5" t="str">
        <f t="shared" si="5"/>
        <v/>
      </c>
      <c r="M13" s="7" t="str">
        <f t="shared" si="6"/>
        <v/>
      </c>
      <c r="N13" s="6"/>
    </row>
    <row r="14" spans="1:16" ht="15.75" thickBot="1" x14ac:dyDescent="0.3">
      <c r="A14" s="10" t="s">
        <v>0</v>
      </c>
      <c r="B14" s="11"/>
      <c r="C14" s="11"/>
      <c r="D14" s="13"/>
      <c r="E14" s="96"/>
      <c r="F14" s="10" t="s">
        <v>10</v>
      </c>
      <c r="G14" s="11"/>
      <c r="H14" s="11"/>
      <c r="I14" s="97"/>
      <c r="J14" s="96"/>
      <c r="K14" s="10" t="s">
        <v>28</v>
      </c>
      <c r="L14" s="11"/>
      <c r="M14" s="12"/>
      <c r="N14" s="13"/>
      <c r="P14" t="s">
        <v>10</v>
      </c>
    </row>
    <row r="15" spans="1:16" ht="30" x14ac:dyDescent="0.25">
      <c r="A15" s="14" t="s">
        <v>57</v>
      </c>
      <c r="B15" s="15" t="str">
        <f t="shared" ref="B15:B20" si="9">IF($A15&gt;0,INDEX(Продукты,MATCH($A15,INDEX(Продукты,,1),0),2),0)</f>
        <v>гр</v>
      </c>
      <c r="C15" s="15">
        <f t="shared" ref="C15:C20" si="10">IF($A15&gt;0,INDEX(Продукты,MATCH($A15,INDEX(Продукты,,1),0),3),0)</f>
        <v>65</v>
      </c>
      <c r="D15" s="98">
        <f t="shared" si="2"/>
        <v>780</v>
      </c>
      <c r="E15" s="99"/>
      <c r="F15" s="100" t="s">
        <v>18</v>
      </c>
      <c r="G15" s="15" t="str">
        <f t="shared" ref="G15:G20" si="11">IF($F15&gt;0,INDEX(Продукты,MATCH($F15,INDEX(Продукты,,1),0),2),0)</f>
        <v>шт</v>
      </c>
      <c r="H15" s="15">
        <f t="shared" ref="H15:H20" si="12">IF($F15&gt;0,INDEX(Продукты,MATCH($F15,INDEX(Продукты,,1),0),3),0)</f>
        <v>0.5</v>
      </c>
      <c r="I15" s="98">
        <f t="shared" si="7"/>
        <v>6</v>
      </c>
      <c r="J15" s="99"/>
      <c r="K15" s="101" t="s">
        <v>33</v>
      </c>
      <c r="L15" s="15" t="str">
        <f t="shared" ref="L15:L22" si="13">IF($K15&gt;0,INDEX(Продукты,MATCH($K15,INDEX(Продукты,,1),0),2),"")</f>
        <v>гр</v>
      </c>
      <c r="M15" s="16">
        <f t="shared" ref="M15:M22" si="14">IF($K15&gt;0,INDEX(Продукты,MATCH($K15,INDEX(Продукты,,1),0),3),"")</f>
        <v>50</v>
      </c>
      <c r="N15" s="17">
        <f t="shared" si="8"/>
        <v>600</v>
      </c>
    </row>
    <row r="16" spans="1:16" x14ac:dyDescent="0.25">
      <c r="A16" s="18" t="s">
        <v>1</v>
      </c>
      <c r="B16" s="19" t="str">
        <f t="shared" si="9"/>
        <v>гр</v>
      </c>
      <c r="C16" s="19">
        <f t="shared" si="10"/>
        <v>20</v>
      </c>
      <c r="D16" s="102">
        <f t="shared" si="2"/>
        <v>240</v>
      </c>
      <c r="E16" s="99"/>
      <c r="F16" s="103" t="s">
        <v>37</v>
      </c>
      <c r="G16" s="19" t="str">
        <f t="shared" si="11"/>
        <v>шт</v>
      </c>
      <c r="H16" s="104">
        <f t="shared" si="12"/>
        <v>8.3333333333333329E-2</v>
      </c>
      <c r="I16" s="102">
        <f t="shared" si="7"/>
        <v>1</v>
      </c>
      <c r="J16" s="99"/>
      <c r="K16" s="103" t="s">
        <v>20</v>
      </c>
      <c r="L16" s="19" t="str">
        <f t="shared" si="13"/>
        <v>шт</v>
      </c>
      <c r="M16" s="20">
        <f t="shared" si="14"/>
        <v>0.2</v>
      </c>
      <c r="N16" s="21">
        <f t="shared" si="8"/>
        <v>2</v>
      </c>
      <c r="P16" t="s">
        <v>28</v>
      </c>
    </row>
    <row r="17" spans="1:14" x14ac:dyDescent="0.25">
      <c r="A17" s="18" t="s">
        <v>74</v>
      </c>
      <c r="B17" s="19" t="str">
        <f t="shared" si="9"/>
        <v>гр</v>
      </c>
      <c r="C17" s="19">
        <f t="shared" si="10"/>
        <v>50</v>
      </c>
      <c r="D17" s="102">
        <f t="shared" si="2"/>
        <v>600</v>
      </c>
      <c r="E17" s="99"/>
      <c r="F17" s="103" t="s">
        <v>78</v>
      </c>
      <c r="G17" s="19" t="str">
        <f t="shared" si="11"/>
        <v>гр</v>
      </c>
      <c r="H17" s="19">
        <f t="shared" si="12"/>
        <v>50</v>
      </c>
      <c r="I17" s="102">
        <f t="shared" si="7"/>
        <v>600</v>
      </c>
      <c r="J17" s="99"/>
      <c r="K17" s="103" t="s">
        <v>31</v>
      </c>
      <c r="L17" s="19" t="str">
        <f t="shared" si="13"/>
        <v>шт</v>
      </c>
      <c r="M17" s="20">
        <f t="shared" si="14"/>
        <v>0.5</v>
      </c>
      <c r="N17" s="21">
        <f t="shared" si="8"/>
        <v>6</v>
      </c>
    </row>
    <row r="18" spans="1:14" x14ac:dyDescent="0.25">
      <c r="A18" s="18" t="s">
        <v>73</v>
      </c>
      <c r="B18" s="19" t="str">
        <f t="shared" si="9"/>
        <v>шт</v>
      </c>
      <c r="C18" s="19">
        <f t="shared" si="10"/>
        <v>2</v>
      </c>
      <c r="D18" s="102">
        <f t="shared" si="2"/>
        <v>24</v>
      </c>
      <c r="E18" s="99"/>
      <c r="F18" s="103" t="s">
        <v>24</v>
      </c>
      <c r="G18" s="19" t="str">
        <f t="shared" si="11"/>
        <v>шт</v>
      </c>
      <c r="H18" s="19">
        <f t="shared" si="12"/>
        <v>1</v>
      </c>
      <c r="I18" s="102">
        <f t="shared" si="7"/>
        <v>12</v>
      </c>
      <c r="J18" s="99"/>
      <c r="K18" s="103" t="s">
        <v>73</v>
      </c>
      <c r="L18" s="19" t="str">
        <f t="shared" si="13"/>
        <v>шт</v>
      </c>
      <c r="M18" s="174">
        <f t="shared" si="14"/>
        <v>2</v>
      </c>
      <c r="N18" s="21">
        <f t="shared" si="8"/>
        <v>24</v>
      </c>
    </row>
    <row r="19" spans="1:14" x14ac:dyDescent="0.25">
      <c r="A19" s="18" t="s">
        <v>11</v>
      </c>
      <c r="B19" s="19" t="str">
        <f t="shared" si="9"/>
        <v>шт</v>
      </c>
      <c r="C19" s="19">
        <f t="shared" si="10"/>
        <v>0.33333333333333331</v>
      </c>
      <c r="D19" s="102">
        <f t="shared" si="2"/>
        <v>4</v>
      </c>
      <c r="E19" s="99"/>
      <c r="F19" s="103" t="s">
        <v>73</v>
      </c>
      <c r="G19" s="19" t="str">
        <f t="shared" si="11"/>
        <v>шт</v>
      </c>
      <c r="H19" s="19">
        <f t="shared" si="12"/>
        <v>2</v>
      </c>
      <c r="I19" s="102">
        <f t="shared" si="7"/>
        <v>24</v>
      </c>
      <c r="J19" s="99"/>
      <c r="K19" s="103" t="s">
        <v>30</v>
      </c>
      <c r="L19" s="19" t="str">
        <f t="shared" si="13"/>
        <v>шт</v>
      </c>
      <c r="M19" s="20">
        <f t="shared" si="14"/>
        <v>0.25</v>
      </c>
      <c r="N19" s="21">
        <f t="shared" si="8"/>
        <v>3</v>
      </c>
    </row>
    <row r="20" spans="1:14" ht="15.75" thickBot="1" x14ac:dyDescent="0.3">
      <c r="A20" s="22"/>
      <c r="B20" s="23">
        <f t="shared" si="9"/>
        <v>0</v>
      </c>
      <c r="C20" s="23">
        <f t="shared" si="10"/>
        <v>0</v>
      </c>
      <c r="D20" s="105">
        <f t="shared" si="2"/>
        <v>0</v>
      </c>
      <c r="E20" s="106"/>
      <c r="F20" s="107" t="s">
        <v>19</v>
      </c>
      <c r="G20" s="23" t="str">
        <f t="shared" si="11"/>
        <v>шт</v>
      </c>
      <c r="H20" s="23">
        <f t="shared" si="12"/>
        <v>0.25</v>
      </c>
      <c r="I20" s="105">
        <f t="shared" si="7"/>
        <v>3</v>
      </c>
      <c r="J20" s="106"/>
      <c r="K20" s="107"/>
      <c r="L20" s="23" t="str">
        <f t="shared" si="13"/>
        <v/>
      </c>
      <c r="M20" s="24" t="str">
        <f t="shared" si="14"/>
        <v/>
      </c>
      <c r="N20" s="25"/>
    </row>
    <row r="21" spans="1:14" s="5" customFormat="1" x14ac:dyDescent="0.25">
      <c r="D21" s="6"/>
      <c r="I21" s="6"/>
      <c r="L21" s="5" t="str">
        <f t="shared" si="13"/>
        <v/>
      </c>
      <c r="M21" s="7" t="str">
        <f t="shared" si="14"/>
        <v/>
      </c>
      <c r="N21" s="6"/>
    </row>
    <row r="22" spans="1:14" s="5" customFormat="1" ht="19.5" thickBot="1" x14ac:dyDescent="0.35">
      <c r="A22" s="3" t="s">
        <v>43</v>
      </c>
      <c r="D22" s="6"/>
      <c r="I22" s="6"/>
      <c r="L22" s="5" t="str">
        <f t="shared" si="13"/>
        <v/>
      </c>
      <c r="M22" s="7" t="str">
        <f t="shared" si="14"/>
        <v/>
      </c>
      <c r="N22" s="6"/>
    </row>
    <row r="23" spans="1:14" ht="15.75" thickBot="1" x14ac:dyDescent="0.3">
      <c r="A23" s="26" t="s">
        <v>0</v>
      </c>
      <c r="B23" s="27"/>
      <c r="C23" s="27"/>
      <c r="D23" s="29"/>
      <c r="E23" s="108"/>
      <c r="F23" s="26" t="s">
        <v>10</v>
      </c>
      <c r="G23" s="27"/>
      <c r="H23" s="27"/>
      <c r="I23" s="109"/>
      <c r="J23" s="108"/>
      <c r="K23" s="26" t="s">
        <v>28</v>
      </c>
      <c r="L23" s="27"/>
      <c r="M23" s="28"/>
      <c r="N23" s="29"/>
    </row>
    <row r="24" spans="1:14" ht="30" x14ac:dyDescent="0.25">
      <c r="A24" s="30" t="s">
        <v>12</v>
      </c>
      <c r="B24" s="31" t="str">
        <f t="shared" ref="B24:B29" si="15">IF($A24&gt;0,INDEX(Продукты,MATCH($A24,INDEX(Продукты,,1),0),2),0)</f>
        <v>гр</v>
      </c>
      <c r="C24" s="31">
        <f t="shared" ref="C24:C29" si="16">IF($A24&gt;0,INDEX(Продукты,MATCH($A24,INDEX(Продукты,,1),0),3),0)</f>
        <v>60</v>
      </c>
      <c r="D24" s="110">
        <f t="shared" si="2"/>
        <v>720</v>
      </c>
      <c r="E24" s="111"/>
      <c r="F24" s="112" t="s">
        <v>22</v>
      </c>
      <c r="G24" s="31" t="str">
        <f t="shared" ref="G24:G29" si="17">IF($F24&gt;0,INDEX(Продукты,MATCH($F24,INDEX(Продукты,,1),0),2),0)</f>
        <v>шт</v>
      </c>
      <c r="H24" s="31">
        <f t="shared" ref="H24:H29" si="18">IF($F24&gt;0,INDEX(Продукты,MATCH($F24,INDEX(Продукты,,1),0),3),0)</f>
        <v>0.5</v>
      </c>
      <c r="I24" s="110">
        <f t="shared" si="7"/>
        <v>6</v>
      </c>
      <c r="J24" s="111"/>
      <c r="K24" s="113" t="s">
        <v>34</v>
      </c>
      <c r="L24" s="31" t="str">
        <f t="shared" ref="L24:L31" si="19">IF($K24&gt;0,INDEX(Продукты,MATCH($K24,INDEX(Продукты,,1),0),2),"")</f>
        <v>гр</v>
      </c>
      <c r="M24" s="32">
        <f t="shared" ref="M24:M31" si="20">IF($K24&gt;0,INDEX(Продукты,MATCH($K24,INDEX(Продукты,,1),0),3),"")</f>
        <v>90</v>
      </c>
      <c r="N24" s="33">
        <f t="shared" si="8"/>
        <v>1080</v>
      </c>
    </row>
    <row r="25" spans="1:14" x14ac:dyDescent="0.25">
      <c r="A25" s="34" t="s">
        <v>1</v>
      </c>
      <c r="B25" s="35" t="str">
        <f t="shared" si="15"/>
        <v>гр</v>
      </c>
      <c r="C25" s="35">
        <f t="shared" si="16"/>
        <v>20</v>
      </c>
      <c r="D25" s="114">
        <f t="shared" si="2"/>
        <v>240</v>
      </c>
      <c r="E25" s="111"/>
      <c r="F25" s="115" t="s">
        <v>37</v>
      </c>
      <c r="G25" s="35" t="str">
        <f t="shared" si="17"/>
        <v>шт</v>
      </c>
      <c r="H25" s="178">
        <f t="shared" si="18"/>
        <v>8.3333333333333329E-2</v>
      </c>
      <c r="I25" s="114">
        <f t="shared" si="7"/>
        <v>1</v>
      </c>
      <c r="J25" s="111"/>
      <c r="K25" s="115" t="s">
        <v>35</v>
      </c>
      <c r="L25" s="35" t="str">
        <f t="shared" si="19"/>
        <v>шт</v>
      </c>
      <c r="M25" s="36">
        <f t="shared" si="20"/>
        <v>0.44444444444444442</v>
      </c>
      <c r="N25" s="37">
        <f t="shared" si="8"/>
        <v>5</v>
      </c>
    </row>
    <row r="26" spans="1:14" x14ac:dyDescent="0.25">
      <c r="A26" s="34" t="s">
        <v>74</v>
      </c>
      <c r="B26" s="35" t="str">
        <f t="shared" si="15"/>
        <v>гр</v>
      </c>
      <c r="C26" s="35">
        <f t="shared" si="16"/>
        <v>50</v>
      </c>
      <c r="D26" s="114">
        <f t="shared" si="2"/>
        <v>600</v>
      </c>
      <c r="E26" s="111"/>
      <c r="F26" s="115" t="s">
        <v>16</v>
      </c>
      <c r="G26" s="35" t="str">
        <f t="shared" si="17"/>
        <v>гр</v>
      </c>
      <c r="H26" s="35">
        <f t="shared" si="18"/>
        <v>50</v>
      </c>
      <c r="I26" s="114">
        <f t="shared" si="7"/>
        <v>600</v>
      </c>
      <c r="J26" s="111"/>
      <c r="K26" s="115" t="s">
        <v>36</v>
      </c>
      <c r="L26" s="35" t="str">
        <f t="shared" si="19"/>
        <v>шт</v>
      </c>
      <c r="M26" s="175">
        <f t="shared" si="20"/>
        <v>2</v>
      </c>
      <c r="N26" s="37">
        <f t="shared" si="8"/>
        <v>24</v>
      </c>
    </row>
    <row r="27" spans="1:14" x14ac:dyDescent="0.25">
      <c r="A27" s="34" t="s">
        <v>73</v>
      </c>
      <c r="B27" s="35" t="str">
        <f t="shared" si="15"/>
        <v>шт</v>
      </c>
      <c r="C27" s="35">
        <f t="shared" si="16"/>
        <v>2</v>
      </c>
      <c r="D27" s="114">
        <f t="shared" si="2"/>
        <v>24</v>
      </c>
      <c r="E27" s="111"/>
      <c r="F27" s="115" t="s">
        <v>25</v>
      </c>
      <c r="G27" s="35" t="str">
        <f t="shared" si="17"/>
        <v>шт</v>
      </c>
      <c r="H27" s="35">
        <f t="shared" si="18"/>
        <v>1</v>
      </c>
      <c r="I27" s="114">
        <f t="shared" si="7"/>
        <v>12</v>
      </c>
      <c r="J27" s="111"/>
      <c r="K27" s="115" t="s">
        <v>73</v>
      </c>
      <c r="L27" s="35" t="str">
        <f t="shared" si="19"/>
        <v>шт</v>
      </c>
      <c r="M27" s="175">
        <f t="shared" si="20"/>
        <v>2</v>
      </c>
      <c r="N27" s="37">
        <f t="shared" si="8"/>
        <v>24</v>
      </c>
    </row>
    <row r="28" spans="1:14" x14ac:dyDescent="0.25">
      <c r="A28" s="34" t="s">
        <v>78</v>
      </c>
      <c r="B28" s="35" t="str">
        <f t="shared" si="15"/>
        <v>гр</v>
      </c>
      <c r="C28" s="35">
        <f t="shared" si="16"/>
        <v>50</v>
      </c>
      <c r="D28" s="114">
        <f t="shared" si="2"/>
        <v>600</v>
      </c>
      <c r="E28" s="111"/>
      <c r="F28" s="115" t="s">
        <v>73</v>
      </c>
      <c r="G28" s="35" t="str">
        <f t="shared" si="17"/>
        <v>шт</v>
      </c>
      <c r="H28" s="35">
        <f t="shared" si="18"/>
        <v>2</v>
      </c>
      <c r="I28" s="114">
        <f t="shared" si="7"/>
        <v>24</v>
      </c>
      <c r="J28" s="111"/>
      <c r="K28" s="115" t="s">
        <v>30</v>
      </c>
      <c r="L28" s="35" t="str">
        <f t="shared" si="19"/>
        <v>шт</v>
      </c>
      <c r="M28" s="36">
        <f t="shared" si="20"/>
        <v>0.25</v>
      </c>
      <c r="N28" s="37">
        <f t="shared" si="8"/>
        <v>3</v>
      </c>
    </row>
    <row r="29" spans="1:14" ht="15.75" thickBot="1" x14ac:dyDescent="0.3">
      <c r="A29" s="38"/>
      <c r="B29" s="39">
        <f t="shared" si="15"/>
        <v>0</v>
      </c>
      <c r="C29" s="39">
        <f t="shared" si="16"/>
        <v>0</v>
      </c>
      <c r="D29" s="116">
        <f t="shared" si="2"/>
        <v>0</v>
      </c>
      <c r="E29" s="117"/>
      <c r="F29" s="118" t="s">
        <v>19</v>
      </c>
      <c r="G29" s="39" t="str">
        <f t="shared" si="17"/>
        <v>шт</v>
      </c>
      <c r="H29" s="39">
        <f t="shared" si="18"/>
        <v>0.25</v>
      </c>
      <c r="I29" s="116">
        <f t="shared" si="7"/>
        <v>3</v>
      </c>
      <c r="J29" s="117"/>
      <c r="K29" s="118"/>
      <c r="L29" s="39" t="str">
        <f t="shared" si="19"/>
        <v/>
      </c>
      <c r="M29" s="40" t="str">
        <f t="shared" si="20"/>
        <v/>
      </c>
      <c r="N29" s="41"/>
    </row>
    <row r="30" spans="1:14" s="5" customFormat="1" x14ac:dyDescent="0.25">
      <c r="D30" s="6"/>
      <c r="I30" s="6"/>
      <c r="L30" s="5" t="str">
        <f t="shared" si="19"/>
        <v/>
      </c>
      <c r="M30" s="7" t="str">
        <f t="shared" si="20"/>
        <v/>
      </c>
      <c r="N30" s="6"/>
    </row>
    <row r="31" spans="1:14" s="5" customFormat="1" ht="19.5" thickBot="1" x14ac:dyDescent="0.35">
      <c r="A31" s="3" t="s">
        <v>44</v>
      </c>
      <c r="L31" s="5" t="str">
        <f t="shared" si="19"/>
        <v/>
      </c>
      <c r="M31" s="7" t="str">
        <f t="shared" si="20"/>
        <v/>
      </c>
      <c r="N31" s="6"/>
    </row>
    <row r="32" spans="1:14" ht="15.75" thickBot="1" x14ac:dyDescent="0.3">
      <c r="A32" s="58" t="s">
        <v>0</v>
      </c>
      <c r="B32" s="59"/>
      <c r="C32" s="59"/>
      <c r="D32" s="61"/>
      <c r="E32" s="84"/>
      <c r="F32" s="58" t="s">
        <v>10</v>
      </c>
      <c r="G32" s="59"/>
      <c r="H32" s="59"/>
      <c r="I32" s="85"/>
      <c r="J32" s="84"/>
      <c r="K32" s="58" t="s">
        <v>28</v>
      </c>
      <c r="L32" s="59"/>
      <c r="M32" s="60"/>
      <c r="N32" s="61"/>
    </row>
    <row r="33" spans="1:14" ht="30" x14ac:dyDescent="0.25">
      <c r="A33" s="62" t="s">
        <v>60</v>
      </c>
      <c r="B33" s="63" t="str">
        <f t="shared" ref="B33:B38" si="21">IF($A33&gt;0,INDEX(Продукты,MATCH($A33,INDEX(Продукты,,1),0),2),0)</f>
        <v>гр</v>
      </c>
      <c r="C33" s="63">
        <f t="shared" ref="C33:C38" si="22">IF($A33&gt;0,INDEX(Продукты,MATCH($A33,INDEX(Продукты,,1),0),3),0)</f>
        <v>60</v>
      </c>
      <c r="D33" s="86">
        <f t="shared" si="2"/>
        <v>720</v>
      </c>
      <c r="E33" s="87"/>
      <c r="F33" s="88" t="s">
        <v>21</v>
      </c>
      <c r="G33" s="63" t="str">
        <f t="shared" ref="G33:G38" si="23">IF($F33&gt;0,INDEX(Продукты,MATCH($F33,INDEX(Продукты,,1),0),2),0)</f>
        <v>шт</v>
      </c>
      <c r="H33" s="63">
        <f t="shared" ref="H33:H38" si="24">IF($F33&gt;0,INDEX(Продукты,MATCH($F33,INDEX(Продукты,,1),0),3),0)</f>
        <v>0.5</v>
      </c>
      <c r="I33" s="86">
        <f t="shared" si="7"/>
        <v>6</v>
      </c>
      <c r="J33" s="87"/>
      <c r="K33" s="89" t="s">
        <v>58</v>
      </c>
      <c r="L33" s="63" t="str">
        <f t="shared" ref="L33:L40" si="25">IF($K33&gt;0,INDEX(Продукты,MATCH($K33,INDEX(Продукты,,1),0),2),"")</f>
        <v>гр</v>
      </c>
      <c r="M33" s="64">
        <f t="shared" ref="M33:M40" si="26">IF($K33&gt;0,INDEX(Продукты,MATCH($K33,INDEX(Продукты,,1),0),3),"")</f>
        <v>80</v>
      </c>
      <c r="N33" s="65">
        <f t="shared" si="8"/>
        <v>960</v>
      </c>
    </row>
    <row r="34" spans="1:14" x14ac:dyDescent="0.25">
      <c r="A34" s="66" t="s">
        <v>3</v>
      </c>
      <c r="B34" s="67" t="str">
        <f t="shared" si="21"/>
        <v>гр</v>
      </c>
      <c r="C34" s="67">
        <f t="shared" si="22"/>
        <v>5</v>
      </c>
      <c r="D34" s="90">
        <f t="shared" si="2"/>
        <v>60</v>
      </c>
      <c r="E34" s="87"/>
      <c r="F34" s="91" t="s">
        <v>37</v>
      </c>
      <c r="G34" s="67" t="str">
        <f t="shared" si="23"/>
        <v>шт</v>
      </c>
      <c r="H34" s="92">
        <f t="shared" si="24"/>
        <v>8.3333333333333329E-2</v>
      </c>
      <c r="I34" s="90">
        <f t="shared" si="7"/>
        <v>1</v>
      </c>
      <c r="J34" s="87"/>
      <c r="K34" s="91" t="s">
        <v>20</v>
      </c>
      <c r="L34" s="67" t="str">
        <f t="shared" si="25"/>
        <v>шт</v>
      </c>
      <c r="M34" s="68">
        <f t="shared" si="26"/>
        <v>0.2</v>
      </c>
      <c r="N34" s="69">
        <f t="shared" si="8"/>
        <v>2</v>
      </c>
    </row>
    <row r="35" spans="1:14" x14ac:dyDescent="0.25">
      <c r="A35" s="66" t="s">
        <v>74</v>
      </c>
      <c r="B35" s="67" t="str">
        <f t="shared" si="21"/>
        <v>гр</v>
      </c>
      <c r="C35" s="67">
        <f t="shared" si="22"/>
        <v>50</v>
      </c>
      <c r="D35" s="90">
        <f t="shared" si="2"/>
        <v>600</v>
      </c>
      <c r="E35" s="87"/>
      <c r="F35" s="91" t="s">
        <v>78</v>
      </c>
      <c r="G35" s="67" t="str">
        <f t="shared" si="23"/>
        <v>гр</v>
      </c>
      <c r="H35" s="67">
        <f t="shared" si="24"/>
        <v>50</v>
      </c>
      <c r="I35" s="90">
        <f t="shared" si="7"/>
        <v>600</v>
      </c>
      <c r="J35" s="87"/>
      <c r="K35" s="91" t="s">
        <v>39</v>
      </c>
      <c r="L35" s="67" t="str">
        <f t="shared" si="25"/>
        <v>шт</v>
      </c>
      <c r="M35" s="68">
        <f t="shared" si="26"/>
        <v>0.1111111111111111</v>
      </c>
      <c r="N35" s="69">
        <f t="shared" si="8"/>
        <v>1</v>
      </c>
    </row>
    <row r="36" spans="1:14" x14ac:dyDescent="0.25">
      <c r="A36" s="66" t="s">
        <v>73</v>
      </c>
      <c r="B36" s="67" t="str">
        <f t="shared" si="21"/>
        <v>шт</v>
      </c>
      <c r="C36" s="67">
        <f t="shared" si="22"/>
        <v>2</v>
      </c>
      <c r="D36" s="90">
        <f t="shared" si="2"/>
        <v>24</v>
      </c>
      <c r="E36" s="87"/>
      <c r="F36" s="91" t="s">
        <v>26</v>
      </c>
      <c r="G36" s="67" t="str">
        <f t="shared" si="23"/>
        <v>шт</v>
      </c>
      <c r="H36" s="67">
        <f t="shared" si="24"/>
        <v>1</v>
      </c>
      <c r="I36" s="90">
        <f t="shared" si="7"/>
        <v>12</v>
      </c>
      <c r="J36" s="87"/>
      <c r="K36" s="91" t="s">
        <v>73</v>
      </c>
      <c r="L36" s="67" t="str">
        <f t="shared" si="25"/>
        <v>шт</v>
      </c>
      <c r="M36" s="176">
        <f t="shared" si="26"/>
        <v>2</v>
      </c>
      <c r="N36" s="69">
        <f t="shared" si="8"/>
        <v>24</v>
      </c>
    </row>
    <row r="37" spans="1:14" x14ac:dyDescent="0.25">
      <c r="A37" s="66" t="s">
        <v>11</v>
      </c>
      <c r="B37" s="67" t="str">
        <f t="shared" si="21"/>
        <v>шт</v>
      </c>
      <c r="C37" s="67">
        <f t="shared" si="22"/>
        <v>0.33333333333333331</v>
      </c>
      <c r="D37" s="90">
        <f t="shared" si="2"/>
        <v>4</v>
      </c>
      <c r="E37" s="87"/>
      <c r="F37" s="91" t="s">
        <v>73</v>
      </c>
      <c r="G37" s="67" t="str">
        <f t="shared" si="23"/>
        <v>шт</v>
      </c>
      <c r="H37" s="67">
        <f t="shared" si="24"/>
        <v>2</v>
      </c>
      <c r="I37" s="90">
        <f t="shared" si="7"/>
        <v>24</v>
      </c>
      <c r="J37" s="87"/>
      <c r="K37" s="91" t="s">
        <v>30</v>
      </c>
      <c r="L37" s="67" t="str">
        <f t="shared" si="25"/>
        <v>шт</v>
      </c>
      <c r="M37" s="68">
        <f t="shared" si="26"/>
        <v>0.25</v>
      </c>
      <c r="N37" s="69">
        <f t="shared" si="8"/>
        <v>3</v>
      </c>
    </row>
    <row r="38" spans="1:14" ht="15.75" thickBot="1" x14ac:dyDescent="0.3">
      <c r="A38" s="70"/>
      <c r="B38" s="71">
        <f t="shared" si="21"/>
        <v>0</v>
      </c>
      <c r="C38" s="71">
        <f t="shared" si="22"/>
        <v>0</v>
      </c>
      <c r="D38" s="93">
        <f t="shared" si="2"/>
        <v>0</v>
      </c>
      <c r="E38" s="94"/>
      <c r="F38" s="95" t="s">
        <v>19</v>
      </c>
      <c r="G38" s="71" t="str">
        <f t="shared" si="23"/>
        <v>шт</v>
      </c>
      <c r="H38" s="71">
        <f t="shared" si="24"/>
        <v>0.25</v>
      </c>
      <c r="I38" s="93">
        <f t="shared" si="7"/>
        <v>3</v>
      </c>
      <c r="J38" s="94"/>
      <c r="K38" s="95"/>
      <c r="L38" s="71" t="str">
        <f t="shared" si="25"/>
        <v/>
      </c>
      <c r="M38" s="72" t="str">
        <f t="shared" si="26"/>
        <v/>
      </c>
      <c r="N38" s="73"/>
    </row>
    <row r="39" spans="1:14" s="5" customFormat="1" x14ac:dyDescent="0.25">
      <c r="L39" s="5" t="str">
        <f t="shared" si="25"/>
        <v/>
      </c>
      <c r="M39" s="7" t="str">
        <f t="shared" si="26"/>
        <v/>
      </c>
      <c r="N39" s="6"/>
    </row>
    <row r="40" spans="1:14" s="5" customFormat="1" ht="19.5" thickBot="1" x14ac:dyDescent="0.35">
      <c r="A40" s="3" t="s">
        <v>45</v>
      </c>
      <c r="L40" s="5" t="str">
        <f t="shared" si="25"/>
        <v/>
      </c>
      <c r="M40" s="7" t="str">
        <f t="shared" si="26"/>
        <v/>
      </c>
      <c r="N40" s="6"/>
    </row>
    <row r="41" spans="1:14" ht="15.75" thickBot="1" x14ac:dyDescent="0.3">
      <c r="A41" s="119" t="s">
        <v>0</v>
      </c>
      <c r="B41" s="120"/>
      <c r="C41" s="120"/>
      <c r="D41" s="121"/>
      <c r="E41" s="122"/>
      <c r="F41" s="119" t="s">
        <v>10</v>
      </c>
      <c r="G41" s="120"/>
      <c r="H41" s="120"/>
      <c r="I41" s="123"/>
      <c r="J41" s="122"/>
      <c r="K41" s="119" t="s">
        <v>28</v>
      </c>
      <c r="L41" s="120"/>
      <c r="M41" s="124"/>
      <c r="N41" s="121"/>
    </row>
    <row r="42" spans="1:14" ht="30" x14ac:dyDescent="0.25">
      <c r="A42" s="125" t="s">
        <v>13</v>
      </c>
      <c r="B42" s="126" t="str">
        <f t="shared" ref="B42:B47" si="27">IF($A42&gt;0,INDEX(Продукты,MATCH($A42,INDEX(Продукты,,1),0),2),0)</f>
        <v>гр</v>
      </c>
      <c r="C42" s="126">
        <f t="shared" ref="C42:C47" si="28">IF($A42&gt;0,INDEX(Продукты,MATCH($A42,INDEX(Продукты,,1),0),3),0)</f>
        <v>60</v>
      </c>
      <c r="D42" s="127">
        <f t="shared" si="2"/>
        <v>720</v>
      </c>
      <c r="E42" s="128"/>
      <c r="F42" s="129" t="s">
        <v>23</v>
      </c>
      <c r="G42" s="126" t="str">
        <f t="shared" ref="G42:G47" si="29">IF($F42&gt;0,INDEX(Продукты,MATCH($F42,INDEX(Продукты,,1),0),2),0)</f>
        <v>шт</v>
      </c>
      <c r="H42" s="126">
        <f t="shared" ref="H42:H47" si="30">IF($F42&gt;0,INDEX(Продукты,MATCH($F42,INDEX(Продукты,,1),0),3),0)</f>
        <v>0.5</v>
      </c>
      <c r="I42" s="127">
        <f t="shared" si="7"/>
        <v>6</v>
      </c>
      <c r="J42" s="128"/>
      <c r="K42" s="130" t="s">
        <v>38</v>
      </c>
      <c r="L42" s="126" t="str">
        <f t="shared" ref="L42:L47" si="31">IF($K42&gt;0,INDEX(Продукты,MATCH($K42,INDEX(Продукты,,1),0),2),"")</f>
        <v>гр</v>
      </c>
      <c r="M42" s="131">
        <f t="shared" ref="M42:M47" si="32">IF($K42&gt;0,INDEX(Продукты,MATCH($K42,INDEX(Продукты,,1),0),3),"")</f>
        <v>80</v>
      </c>
      <c r="N42" s="132">
        <f t="shared" si="8"/>
        <v>960</v>
      </c>
    </row>
    <row r="43" spans="1:14" x14ac:dyDescent="0.25">
      <c r="A43" s="133" t="s">
        <v>3</v>
      </c>
      <c r="B43" s="134" t="str">
        <f t="shared" si="27"/>
        <v>гр</v>
      </c>
      <c r="C43" s="134">
        <f t="shared" si="28"/>
        <v>5</v>
      </c>
      <c r="D43" s="135">
        <f t="shared" si="2"/>
        <v>60</v>
      </c>
      <c r="E43" s="128"/>
      <c r="F43" s="136" t="s">
        <v>37</v>
      </c>
      <c r="G43" s="134" t="str">
        <f t="shared" si="29"/>
        <v>шт</v>
      </c>
      <c r="H43" s="137">
        <f t="shared" si="30"/>
        <v>8.3333333333333329E-2</v>
      </c>
      <c r="I43" s="135">
        <f t="shared" si="7"/>
        <v>1</v>
      </c>
      <c r="J43" s="128"/>
      <c r="K43" s="136" t="s">
        <v>37</v>
      </c>
      <c r="L43" s="134" t="str">
        <f t="shared" si="31"/>
        <v>шт</v>
      </c>
      <c r="M43" s="137">
        <f t="shared" si="32"/>
        <v>8.3333333333333329E-2</v>
      </c>
      <c r="N43" s="139">
        <f t="shared" si="8"/>
        <v>1</v>
      </c>
    </row>
    <row r="44" spans="1:14" x14ac:dyDescent="0.25">
      <c r="A44" s="133" t="s">
        <v>74</v>
      </c>
      <c r="B44" s="134" t="str">
        <f t="shared" si="27"/>
        <v>гр</v>
      </c>
      <c r="C44" s="134">
        <f t="shared" si="28"/>
        <v>50</v>
      </c>
      <c r="D44" s="135">
        <f t="shared" si="2"/>
        <v>600</v>
      </c>
      <c r="E44" s="128"/>
      <c r="F44" s="136" t="s">
        <v>16</v>
      </c>
      <c r="G44" s="134" t="str">
        <f t="shared" si="29"/>
        <v>гр</v>
      </c>
      <c r="H44" s="134">
        <f t="shared" si="30"/>
        <v>50</v>
      </c>
      <c r="I44" s="135">
        <f t="shared" si="7"/>
        <v>600</v>
      </c>
      <c r="J44" s="128"/>
      <c r="K44" s="136" t="s">
        <v>20</v>
      </c>
      <c r="L44" s="134" t="str">
        <f t="shared" si="31"/>
        <v>шт</v>
      </c>
      <c r="M44" s="138">
        <f t="shared" si="32"/>
        <v>0.2</v>
      </c>
      <c r="N44" s="139">
        <f t="shared" si="8"/>
        <v>2</v>
      </c>
    </row>
    <row r="45" spans="1:14" x14ac:dyDescent="0.25">
      <c r="A45" s="133" t="s">
        <v>73</v>
      </c>
      <c r="B45" s="134" t="str">
        <f t="shared" si="27"/>
        <v>шт</v>
      </c>
      <c r="C45" s="134">
        <f t="shared" si="28"/>
        <v>2</v>
      </c>
      <c r="D45" s="135">
        <f t="shared" si="2"/>
        <v>24</v>
      </c>
      <c r="E45" s="128"/>
      <c r="F45" s="136" t="s">
        <v>27</v>
      </c>
      <c r="G45" s="134" t="str">
        <f t="shared" si="29"/>
        <v>шт</v>
      </c>
      <c r="H45" s="134">
        <f t="shared" si="30"/>
        <v>1</v>
      </c>
      <c r="I45" s="135">
        <f t="shared" si="7"/>
        <v>12</v>
      </c>
      <c r="J45" s="128"/>
      <c r="K45" s="136" t="s">
        <v>40</v>
      </c>
      <c r="L45" s="134" t="str">
        <f t="shared" si="31"/>
        <v>шт</v>
      </c>
      <c r="M45" s="177">
        <f t="shared" si="32"/>
        <v>2</v>
      </c>
      <c r="N45" s="139">
        <f t="shared" si="8"/>
        <v>24</v>
      </c>
    </row>
    <row r="46" spans="1:14" x14ac:dyDescent="0.25">
      <c r="A46" s="140" t="s">
        <v>78</v>
      </c>
      <c r="B46" s="141" t="str">
        <f t="shared" si="27"/>
        <v>гр</v>
      </c>
      <c r="C46" s="141">
        <f t="shared" si="28"/>
        <v>50</v>
      </c>
      <c r="D46" s="142">
        <f t="shared" si="2"/>
        <v>600</v>
      </c>
      <c r="E46" s="128"/>
      <c r="F46" s="143" t="s">
        <v>73</v>
      </c>
      <c r="G46" s="141" t="str">
        <f t="shared" si="29"/>
        <v>шт</v>
      </c>
      <c r="H46" s="141">
        <f t="shared" si="30"/>
        <v>2</v>
      </c>
      <c r="I46" s="142">
        <f t="shared" si="7"/>
        <v>24</v>
      </c>
      <c r="J46" s="128"/>
      <c r="K46" s="143" t="s">
        <v>73</v>
      </c>
      <c r="L46" s="141" t="str">
        <f t="shared" si="31"/>
        <v>шт</v>
      </c>
      <c r="M46" s="180">
        <f t="shared" si="32"/>
        <v>2</v>
      </c>
      <c r="N46" s="144">
        <f t="shared" si="8"/>
        <v>24</v>
      </c>
    </row>
    <row r="47" spans="1:14" ht="15.75" thickBot="1" x14ac:dyDescent="0.3">
      <c r="A47" s="145"/>
      <c r="B47" s="146">
        <f t="shared" si="27"/>
        <v>0</v>
      </c>
      <c r="C47" s="146">
        <f t="shared" si="28"/>
        <v>0</v>
      </c>
      <c r="D47" s="147">
        <f t="shared" si="2"/>
        <v>0</v>
      </c>
      <c r="E47" s="148"/>
      <c r="F47" s="149" t="s">
        <v>19</v>
      </c>
      <c r="G47" s="146" t="str">
        <f t="shared" si="29"/>
        <v>шт</v>
      </c>
      <c r="H47" s="146">
        <f t="shared" si="30"/>
        <v>0.25</v>
      </c>
      <c r="I47" s="147">
        <f t="shared" si="7"/>
        <v>3</v>
      </c>
      <c r="J47" s="148"/>
      <c r="K47" s="149"/>
      <c r="L47" s="146" t="str">
        <f t="shared" si="31"/>
        <v/>
      </c>
      <c r="M47" s="150" t="str">
        <f t="shared" si="32"/>
        <v/>
      </c>
      <c r="N47" s="151"/>
    </row>
    <row r="49" spans="1:4" ht="19.5" thickBot="1" x14ac:dyDescent="0.35">
      <c r="A49" s="3" t="s">
        <v>48</v>
      </c>
      <c r="D49" s="2"/>
    </row>
    <row r="50" spans="1:4" x14ac:dyDescent="0.25">
      <c r="A50" s="154" t="s">
        <v>49</v>
      </c>
      <c r="B50" s="155"/>
      <c r="C50" s="155"/>
      <c r="D50" s="156"/>
    </row>
    <row r="51" spans="1:4" x14ac:dyDescent="0.25">
      <c r="A51" s="157" t="s">
        <v>50</v>
      </c>
      <c r="B51" s="153"/>
      <c r="C51" s="153"/>
      <c r="D51" s="158"/>
    </row>
    <row r="52" spans="1:4" x14ac:dyDescent="0.25">
      <c r="A52" s="157" t="s">
        <v>51</v>
      </c>
      <c r="B52" s="153"/>
      <c r="C52" s="153"/>
      <c r="D52" s="158"/>
    </row>
    <row r="53" spans="1:4" x14ac:dyDescent="0.25">
      <c r="A53" s="157" t="s">
        <v>52</v>
      </c>
      <c r="B53" s="153"/>
      <c r="C53" s="153"/>
      <c r="D53" s="158"/>
    </row>
    <row r="54" spans="1:4" x14ac:dyDescent="0.25">
      <c r="A54" s="157" t="s">
        <v>53</v>
      </c>
      <c r="B54" s="153"/>
      <c r="C54" s="153"/>
      <c r="D54" s="158"/>
    </row>
    <row r="55" spans="1:4" x14ac:dyDescent="0.25">
      <c r="A55" s="157" t="s">
        <v>54</v>
      </c>
      <c r="B55" s="153"/>
      <c r="C55" s="153"/>
      <c r="D55" s="158"/>
    </row>
    <row r="56" spans="1:4" ht="15.75" thickBot="1" x14ac:dyDescent="0.3">
      <c r="A56" s="159" t="s">
        <v>9</v>
      </c>
      <c r="B56" s="160"/>
      <c r="C56" s="160"/>
      <c r="D56" s="16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65"/>
  <sheetViews>
    <sheetView workbookViewId="0">
      <selection activeCell="C21" sqref="C21"/>
    </sheetView>
  </sheetViews>
  <sheetFormatPr defaultRowHeight="15" x14ac:dyDescent="0.25"/>
  <cols>
    <col min="1" max="1" width="25.5703125" customWidth="1"/>
    <col min="4" max="4" width="16.28515625" customWidth="1"/>
    <col min="5" max="6" width="12.140625" customWidth="1"/>
  </cols>
  <sheetData>
    <row r="1" spans="1:7" ht="19.5" thickBot="1" x14ac:dyDescent="0.35">
      <c r="A1" s="324" t="s">
        <v>75</v>
      </c>
      <c r="B1" s="325"/>
      <c r="C1" s="325"/>
      <c r="D1" s="325"/>
      <c r="E1" s="325"/>
      <c r="F1" s="326"/>
    </row>
    <row r="2" spans="1:7" ht="15.75" thickBot="1" x14ac:dyDescent="0.3"/>
    <row r="3" spans="1:7" ht="16.5" thickBot="1" x14ac:dyDescent="0.3">
      <c r="A3" s="196" t="s">
        <v>62</v>
      </c>
      <c r="B3" s="197" t="s">
        <v>63</v>
      </c>
      <c r="C3" s="198" t="s">
        <v>64</v>
      </c>
      <c r="D3" s="199" t="s">
        <v>65</v>
      </c>
      <c r="E3" s="200" t="s">
        <v>55</v>
      </c>
      <c r="F3" s="201" t="s">
        <v>56</v>
      </c>
    </row>
    <row r="4" spans="1:7" x14ac:dyDescent="0.25">
      <c r="A4" s="194" t="s">
        <v>60</v>
      </c>
      <c r="B4" s="167" t="s">
        <v>6</v>
      </c>
      <c r="C4" s="195">
        <v>60</v>
      </c>
      <c r="D4" s="241">
        <f>ROUND(C4*Меню!$B$2,0)</f>
        <v>720</v>
      </c>
      <c r="E4" s="242">
        <f ca="1">COUNTIF('Раскладка Алтай'!A:N,'Список продуктов'!A4)</f>
        <v>2</v>
      </c>
      <c r="F4" s="243">
        <f ca="1">D4*E4</f>
        <v>1440</v>
      </c>
      <c r="G4">
        <f>C4*9/7</f>
        <v>77.142857142857139</v>
      </c>
    </row>
    <row r="5" spans="1:7" x14ac:dyDescent="0.25">
      <c r="A5" s="162" t="s">
        <v>15</v>
      </c>
      <c r="B5" s="163" t="s">
        <v>6</v>
      </c>
      <c r="C5" s="186">
        <v>40</v>
      </c>
      <c r="D5" s="189">
        <f>ROUND(C5*Меню!$B$2,0)</f>
        <v>480</v>
      </c>
      <c r="E5" s="4">
        <f ca="1">COUNTIF('Раскладка Алтай'!A:N,'Список продуктов'!A5)</f>
        <v>2</v>
      </c>
      <c r="F5" s="190">
        <f t="shared" ref="F5:F65" ca="1" si="0">D5*E5</f>
        <v>960</v>
      </c>
      <c r="G5">
        <f t="shared" ref="G5:G65" si="1">C5*9/7</f>
        <v>51.428571428571431</v>
      </c>
    </row>
    <row r="6" spans="1:7" x14ac:dyDescent="0.25">
      <c r="A6" s="162" t="s">
        <v>57</v>
      </c>
      <c r="B6" s="163" t="s">
        <v>6</v>
      </c>
      <c r="C6" s="186">
        <v>65</v>
      </c>
      <c r="D6" s="189">
        <f>ROUND(C6*Меню!$B$2,0)</f>
        <v>780</v>
      </c>
      <c r="E6" s="4">
        <f ca="1">COUNTIF('Раскладка Алтай'!A:N,'Список продуктов'!A6)</f>
        <v>2</v>
      </c>
      <c r="F6" s="190">
        <f t="shared" ca="1" si="0"/>
        <v>1560</v>
      </c>
      <c r="G6">
        <f t="shared" si="1"/>
        <v>83.571428571428569</v>
      </c>
    </row>
    <row r="7" spans="1:7" x14ac:dyDescent="0.25">
      <c r="A7" s="162" t="s">
        <v>58</v>
      </c>
      <c r="B7" s="163" t="s">
        <v>6</v>
      </c>
      <c r="C7" s="187">
        <v>80</v>
      </c>
      <c r="D7" s="189">
        <f>ROUND(C7*Меню!$B$2,0)</f>
        <v>960</v>
      </c>
      <c r="E7" s="4">
        <f ca="1">COUNTIF('Раскладка Алтай'!A:N,'Список продуктов'!A7)</f>
        <v>1</v>
      </c>
      <c r="F7" s="190">
        <f t="shared" ca="1" si="0"/>
        <v>960</v>
      </c>
      <c r="G7">
        <f t="shared" si="1"/>
        <v>102.85714285714286</v>
      </c>
    </row>
    <row r="8" spans="1:7" x14ac:dyDescent="0.25">
      <c r="A8" s="162" t="s">
        <v>33</v>
      </c>
      <c r="B8" s="163" t="s">
        <v>6</v>
      </c>
      <c r="C8" s="187">
        <v>50</v>
      </c>
      <c r="D8" s="189">
        <f>ROUND(C8*Меню!$B$2,0)</f>
        <v>600</v>
      </c>
      <c r="E8" s="4">
        <f ca="1">COUNTIF('Раскладка Алтай'!A:N,'Список продуктов'!A8)</f>
        <v>2</v>
      </c>
      <c r="F8" s="190">
        <f t="shared" ca="1" si="0"/>
        <v>1200</v>
      </c>
      <c r="G8">
        <f t="shared" si="1"/>
        <v>64.285714285714292</v>
      </c>
    </row>
    <row r="9" spans="1:7" x14ac:dyDescent="0.25">
      <c r="A9" s="162" t="s">
        <v>13</v>
      </c>
      <c r="B9" s="163" t="s">
        <v>6</v>
      </c>
      <c r="C9" s="186">
        <v>60</v>
      </c>
      <c r="D9" s="189">
        <f>ROUND(C9*Меню!$B$2,0)</f>
        <v>720</v>
      </c>
      <c r="E9" s="4">
        <f ca="1">COUNTIF('Раскладка Алтай'!A:N,'Список продуктов'!A9)</f>
        <v>1</v>
      </c>
      <c r="F9" s="190">
        <f t="shared" ca="1" si="0"/>
        <v>720</v>
      </c>
      <c r="G9">
        <f t="shared" si="1"/>
        <v>77.142857142857139</v>
      </c>
    </row>
    <row r="10" spans="1:7" x14ac:dyDescent="0.25">
      <c r="A10" s="162" t="s">
        <v>29</v>
      </c>
      <c r="B10" s="163" t="s">
        <v>6</v>
      </c>
      <c r="C10" s="187">
        <v>100</v>
      </c>
      <c r="D10" s="189">
        <f>ROUND(C10*Меню!$B$2,0)</f>
        <v>1200</v>
      </c>
      <c r="E10" s="4">
        <f ca="1">COUNTIF('Раскладка Алтай'!A:N,'Список продуктов'!A10)</f>
        <v>2</v>
      </c>
      <c r="F10" s="190">
        <f t="shared" ca="1" si="0"/>
        <v>2400</v>
      </c>
      <c r="G10">
        <f t="shared" si="1"/>
        <v>128.57142857142858</v>
      </c>
    </row>
    <row r="11" spans="1:7" x14ac:dyDescent="0.25">
      <c r="A11" s="162" t="s">
        <v>2</v>
      </c>
      <c r="B11" s="163" t="s">
        <v>6</v>
      </c>
      <c r="C11" s="186">
        <v>60</v>
      </c>
      <c r="D11" s="189">
        <f>ROUND(C11*Меню!$B$2,0)</f>
        <v>720</v>
      </c>
      <c r="E11" s="4">
        <f ca="1">COUNTIF('Раскладка Алтай'!A:N,'Список продуктов'!A11)</f>
        <v>2</v>
      </c>
      <c r="F11" s="190">
        <f t="shared" ca="1" si="0"/>
        <v>1440</v>
      </c>
      <c r="G11">
        <f t="shared" si="1"/>
        <v>77.142857142857139</v>
      </c>
    </row>
    <row r="12" spans="1:7" x14ac:dyDescent="0.25">
      <c r="A12" s="162" t="s">
        <v>38</v>
      </c>
      <c r="B12" s="163" t="s">
        <v>6</v>
      </c>
      <c r="C12" s="187">
        <v>80</v>
      </c>
      <c r="D12" s="189">
        <f>ROUND(C12*Меню!$B$2,0)</f>
        <v>960</v>
      </c>
      <c r="E12" s="4">
        <f ca="1">COUNTIF('Раскладка Алтай'!A:N,'Список продуктов'!A12)</f>
        <v>1</v>
      </c>
      <c r="F12" s="190">
        <f t="shared" ca="1" si="0"/>
        <v>960</v>
      </c>
      <c r="G12">
        <f t="shared" si="1"/>
        <v>102.85714285714286</v>
      </c>
    </row>
    <row r="13" spans="1:7" x14ac:dyDescent="0.25">
      <c r="A13" s="162" t="s">
        <v>12</v>
      </c>
      <c r="B13" s="163" t="s">
        <v>6</v>
      </c>
      <c r="C13" s="186">
        <v>60</v>
      </c>
      <c r="D13" s="189">
        <f>ROUND(C13*Меню!$B$2,0)</f>
        <v>720</v>
      </c>
      <c r="E13" s="4">
        <f ca="1">COUNTIF('Раскладка Алтай'!A:N,'Список продуктов'!A13)</f>
        <v>2</v>
      </c>
      <c r="F13" s="190">
        <f t="shared" ca="1" si="0"/>
        <v>1440</v>
      </c>
      <c r="G13">
        <f t="shared" si="1"/>
        <v>77.142857142857139</v>
      </c>
    </row>
    <row r="14" spans="1:7" x14ac:dyDescent="0.25">
      <c r="A14" s="162" t="s">
        <v>34</v>
      </c>
      <c r="B14" s="163" t="s">
        <v>6</v>
      </c>
      <c r="C14" s="187">
        <v>90</v>
      </c>
      <c r="D14" s="189">
        <f>ROUND(C14*Меню!$B$2,0)</f>
        <v>1080</v>
      </c>
      <c r="E14" s="4">
        <f ca="1">COUNTIF('Раскладка Алтай'!A:N,'Список продуктов'!A14)</f>
        <v>2</v>
      </c>
      <c r="F14" s="190">
        <f t="shared" ca="1" si="0"/>
        <v>2160</v>
      </c>
      <c r="G14">
        <f t="shared" si="1"/>
        <v>115.71428571428571</v>
      </c>
    </row>
    <row r="15" spans="1:7" x14ac:dyDescent="0.25">
      <c r="A15" s="162" t="s">
        <v>4</v>
      </c>
      <c r="B15" s="163" t="s">
        <v>6</v>
      </c>
      <c r="C15" s="186">
        <v>10</v>
      </c>
      <c r="D15" s="189">
        <f>ROUND(C15*Меню!$B$2,0)</f>
        <v>120</v>
      </c>
      <c r="E15" s="4">
        <f ca="1">COUNTIF('Раскладка Алтай'!A:N,'Список продуктов'!A15)</f>
        <v>0</v>
      </c>
      <c r="F15" s="190">
        <f t="shared" ca="1" si="0"/>
        <v>0</v>
      </c>
      <c r="G15">
        <f t="shared" si="1"/>
        <v>12.857142857142858</v>
      </c>
    </row>
    <row r="16" spans="1:7" x14ac:dyDescent="0.25">
      <c r="A16" s="162" t="s">
        <v>59</v>
      </c>
      <c r="B16" s="163" t="s">
        <v>6</v>
      </c>
      <c r="C16" s="186">
        <v>20</v>
      </c>
      <c r="D16" s="189">
        <f>ROUND(C16*Меню!$B$2,0)</f>
        <v>240</v>
      </c>
      <c r="E16" s="4">
        <f ca="1">COUNTIF('Раскладка Алтай'!A:N,'Список продуктов'!A16)</f>
        <v>0</v>
      </c>
      <c r="F16" s="190">
        <f t="shared" ca="1" si="0"/>
        <v>0</v>
      </c>
      <c r="G16">
        <f t="shared" si="1"/>
        <v>25.714285714285715</v>
      </c>
    </row>
    <row r="17" spans="1:7" x14ac:dyDescent="0.25">
      <c r="A17" s="162" t="s">
        <v>1</v>
      </c>
      <c r="B17" s="163" t="s">
        <v>6</v>
      </c>
      <c r="C17" s="186">
        <v>20</v>
      </c>
      <c r="D17" s="189">
        <f>ROUND(C17*Меню!$B$2,0)</f>
        <v>240</v>
      </c>
      <c r="E17" s="4">
        <f ca="1">COUNTIF('Раскладка Алтай'!A:N,'Список продуктов'!A17)</f>
        <v>4</v>
      </c>
      <c r="F17" s="190">
        <f t="shared" ca="1" si="0"/>
        <v>960</v>
      </c>
      <c r="G17">
        <f t="shared" si="1"/>
        <v>25.714285714285715</v>
      </c>
    </row>
    <row r="18" spans="1:7" x14ac:dyDescent="0.25">
      <c r="A18" s="162" t="s">
        <v>3</v>
      </c>
      <c r="B18" s="163" t="s">
        <v>6</v>
      </c>
      <c r="C18" s="186">
        <v>5</v>
      </c>
      <c r="D18" s="189">
        <f>ROUND(C18*Меню!$B$2,0)</f>
        <v>60</v>
      </c>
      <c r="E18" s="4">
        <f ca="1">COUNTIF('Раскладка Алтай'!A:N,'Список продуктов'!A18)</f>
        <v>5</v>
      </c>
      <c r="F18" s="190">
        <f t="shared" ca="1" si="0"/>
        <v>300</v>
      </c>
      <c r="G18">
        <f t="shared" si="1"/>
        <v>6.4285714285714288</v>
      </c>
    </row>
    <row r="19" spans="1:7" x14ac:dyDescent="0.25">
      <c r="A19" s="162" t="s">
        <v>8</v>
      </c>
      <c r="B19" s="163" t="s">
        <v>6</v>
      </c>
      <c r="C19" s="186">
        <v>35</v>
      </c>
      <c r="D19" s="189">
        <f>ROUND(C19*Меню!$B$2,0)</f>
        <v>420</v>
      </c>
      <c r="E19" s="4">
        <f ca="1">COUNTIF('Раскладка Алтай'!A:N,'Список продуктов'!A19)</f>
        <v>2</v>
      </c>
      <c r="F19" s="190">
        <f t="shared" ca="1" si="0"/>
        <v>840</v>
      </c>
      <c r="G19">
        <f t="shared" si="1"/>
        <v>45</v>
      </c>
    </row>
    <row r="20" spans="1:7" x14ac:dyDescent="0.25">
      <c r="A20" s="162" t="s">
        <v>16</v>
      </c>
      <c r="B20" s="163" t="s">
        <v>6</v>
      </c>
      <c r="C20" s="186">
        <v>50</v>
      </c>
      <c r="D20" s="189">
        <f>ROUND(C20*Меню!$B$2,0)</f>
        <v>600</v>
      </c>
      <c r="E20" s="4">
        <f ca="1">COUNTIF('Раскладка Алтай'!A:N,'Список продуктов'!A20)</f>
        <v>5</v>
      </c>
      <c r="F20" s="190">
        <f t="shared" ca="1" si="0"/>
        <v>3000</v>
      </c>
      <c r="G20">
        <f t="shared" si="1"/>
        <v>64.285714285714292</v>
      </c>
    </row>
    <row r="21" spans="1:7" x14ac:dyDescent="0.25">
      <c r="A21" s="246" t="s">
        <v>39</v>
      </c>
      <c r="B21" s="247" t="s">
        <v>7</v>
      </c>
      <c r="C21" s="240">
        <f>1/9</f>
        <v>0.1111111111111111</v>
      </c>
      <c r="D21" s="189">
        <f>ROUNDUP(C21*Меню!$B$2,0)</f>
        <v>2</v>
      </c>
      <c r="E21" s="4">
        <f ca="1">COUNTIF('Раскладка Алтай'!A:N,'Список продуктов'!A21)</f>
        <v>1</v>
      </c>
      <c r="F21" s="190">
        <f t="shared" ca="1" si="0"/>
        <v>2</v>
      </c>
      <c r="G21">
        <f t="shared" si="1"/>
        <v>0.14285714285714285</v>
      </c>
    </row>
    <row r="22" spans="1:7" x14ac:dyDescent="0.25">
      <c r="A22" s="162" t="s">
        <v>27</v>
      </c>
      <c r="B22" s="163" t="s">
        <v>7</v>
      </c>
      <c r="C22" s="186">
        <v>1</v>
      </c>
      <c r="D22" s="189">
        <f>ROUND(C22*Меню!$B$2,0)</f>
        <v>12</v>
      </c>
      <c r="E22" s="4">
        <f ca="1">COUNTIF('Раскладка Алтай'!A:N,'Список продуктов'!A22)</f>
        <v>1</v>
      </c>
      <c r="F22" s="190">
        <f t="shared" ca="1" si="0"/>
        <v>12</v>
      </c>
      <c r="G22">
        <f t="shared" si="1"/>
        <v>1.2857142857142858</v>
      </c>
    </row>
    <row r="23" spans="1:7" x14ac:dyDescent="0.25">
      <c r="A23" s="162" t="s">
        <v>32</v>
      </c>
      <c r="B23" s="163" t="s">
        <v>7</v>
      </c>
      <c r="C23" s="186">
        <v>2</v>
      </c>
      <c r="D23" s="189">
        <f>ROUND(C23*Меню!$B$2,0)</f>
        <v>24</v>
      </c>
      <c r="E23" s="4">
        <f ca="1">COUNTIF('Раскладка Алтай'!A:N,'Список продуктов'!A23)</f>
        <v>0</v>
      </c>
      <c r="F23" s="190">
        <f t="shared" ca="1" si="0"/>
        <v>0</v>
      </c>
      <c r="G23">
        <f t="shared" si="1"/>
        <v>2.5714285714285716</v>
      </c>
    </row>
    <row r="24" spans="1:7" x14ac:dyDescent="0.25">
      <c r="A24" s="246" t="s">
        <v>30</v>
      </c>
      <c r="B24" s="247" t="s">
        <v>7</v>
      </c>
      <c r="C24" s="240">
        <f>3/'Раскладка Алтай'!$B$2</f>
        <v>0.25</v>
      </c>
      <c r="D24" s="189">
        <f>ROUND(C24*Меню!$B$2,0)</f>
        <v>3</v>
      </c>
      <c r="E24" s="4">
        <f ca="1">COUNTIF('Раскладка Алтай'!A:N,'Список продуктов'!A24)</f>
        <v>5</v>
      </c>
      <c r="F24" s="190">
        <f t="shared" ca="1" si="0"/>
        <v>15</v>
      </c>
      <c r="G24">
        <f t="shared" si="1"/>
        <v>0.32142857142857145</v>
      </c>
    </row>
    <row r="25" spans="1:7" x14ac:dyDescent="0.25">
      <c r="A25" s="162" t="s">
        <v>24</v>
      </c>
      <c r="B25" s="163" t="s">
        <v>7</v>
      </c>
      <c r="C25" s="186">
        <v>1</v>
      </c>
      <c r="D25" s="189">
        <f>ROUND(C25*Меню!$B$2,0)</f>
        <v>12</v>
      </c>
      <c r="E25" s="4">
        <f ca="1">COUNTIF('Раскладка Алтай'!A:N,'Список продуктов'!A25)</f>
        <v>2</v>
      </c>
      <c r="F25" s="190">
        <f t="shared" ca="1" si="0"/>
        <v>24</v>
      </c>
      <c r="G25">
        <f t="shared" si="1"/>
        <v>1.2857142857142858</v>
      </c>
    </row>
    <row r="26" spans="1:7" x14ac:dyDescent="0.25">
      <c r="A26" s="162" t="s">
        <v>25</v>
      </c>
      <c r="B26" s="163" t="s">
        <v>7</v>
      </c>
      <c r="C26" s="186">
        <v>1</v>
      </c>
      <c r="D26" s="189">
        <f>ROUND(C26*Меню!$B$2,0)</f>
        <v>12</v>
      </c>
      <c r="E26" s="4">
        <f ca="1">COUNTIF('Раскладка Алтай'!A:N,'Список продуктов'!A26)</f>
        <v>2</v>
      </c>
      <c r="F26" s="190">
        <f t="shared" ca="1" si="0"/>
        <v>24</v>
      </c>
      <c r="G26">
        <f t="shared" si="1"/>
        <v>1.2857142857142858</v>
      </c>
    </row>
    <row r="27" spans="1:7" x14ac:dyDescent="0.25">
      <c r="A27" s="162" t="s">
        <v>40</v>
      </c>
      <c r="B27" s="163" t="s">
        <v>7</v>
      </c>
      <c r="C27" s="164">
        <v>2</v>
      </c>
      <c r="D27" s="189">
        <f>ROUND(C27*Меню!$B$2,0)</f>
        <v>24</v>
      </c>
      <c r="E27" s="4">
        <f ca="1">COUNTIF('Раскладка Алтай'!A:N,'Список продуктов'!A27)</f>
        <v>1</v>
      </c>
      <c r="F27" s="190">
        <f t="shared" ca="1" si="0"/>
        <v>24</v>
      </c>
      <c r="G27">
        <f t="shared" si="1"/>
        <v>2.5714285714285716</v>
      </c>
    </row>
    <row r="28" spans="1:7" x14ac:dyDescent="0.25">
      <c r="A28" s="162" t="s">
        <v>61</v>
      </c>
      <c r="B28" s="163" t="s">
        <v>7</v>
      </c>
      <c r="C28" s="164">
        <v>2</v>
      </c>
      <c r="D28" s="189">
        <f>ROUND(C28*Меню!$B$2,0)</f>
        <v>24</v>
      </c>
      <c r="E28" s="4">
        <f ca="1">COUNTIF('Раскладка Алтай'!A:N,'Список продуктов'!A28)</f>
        <v>2</v>
      </c>
      <c r="F28" s="190">
        <f t="shared" ca="1" si="0"/>
        <v>48</v>
      </c>
      <c r="G28">
        <f t="shared" si="1"/>
        <v>2.5714285714285716</v>
      </c>
    </row>
    <row r="29" spans="1:7" x14ac:dyDescent="0.25">
      <c r="A29" s="246" t="s">
        <v>11</v>
      </c>
      <c r="B29" s="247" t="s">
        <v>7</v>
      </c>
      <c r="C29" s="240">
        <f>1/3</f>
        <v>0.33333333333333331</v>
      </c>
      <c r="D29" s="189">
        <f>ROUND(C29*Меню!$B$2,0)</f>
        <v>4</v>
      </c>
      <c r="E29" s="4">
        <f ca="1">COUNTIF('Раскладка Алтай'!A:N,'Список продуктов'!A29)</f>
        <v>4</v>
      </c>
      <c r="F29" s="190">
        <f t="shared" ca="1" si="0"/>
        <v>16</v>
      </c>
      <c r="G29">
        <f t="shared" si="1"/>
        <v>0.42857142857142855</v>
      </c>
    </row>
    <row r="30" spans="1:7" x14ac:dyDescent="0.25">
      <c r="A30" s="162" t="s">
        <v>31</v>
      </c>
      <c r="B30" s="163" t="s">
        <v>7</v>
      </c>
      <c r="C30" s="187">
        <v>0.5</v>
      </c>
      <c r="D30" s="189">
        <f>ROUND(C30*Меню!$B$2,0)</f>
        <v>6</v>
      </c>
      <c r="E30" s="4">
        <f ca="1">COUNTIF('Раскладка Алтай'!A:N,'Список продуктов'!A30)</f>
        <v>2</v>
      </c>
      <c r="F30" s="190">
        <f t="shared" ca="1" si="0"/>
        <v>12</v>
      </c>
      <c r="G30">
        <f t="shared" si="1"/>
        <v>0.6428571428571429</v>
      </c>
    </row>
    <row r="31" spans="1:7" x14ac:dyDescent="0.25">
      <c r="A31" s="162" t="s">
        <v>26</v>
      </c>
      <c r="B31" s="163" t="s">
        <v>7</v>
      </c>
      <c r="C31" s="186">
        <v>1</v>
      </c>
      <c r="D31" s="189">
        <f>ROUND(C31*Меню!$B$2,0)</f>
        <v>12</v>
      </c>
      <c r="E31" s="4">
        <f ca="1">COUNTIF('Раскладка Алтай'!A:N,'Список продуктов'!A31)</f>
        <v>1</v>
      </c>
      <c r="F31" s="190">
        <f t="shared" ca="1" si="0"/>
        <v>12</v>
      </c>
      <c r="G31">
        <f t="shared" si="1"/>
        <v>1.2857142857142858</v>
      </c>
    </row>
    <row r="32" spans="1:7" x14ac:dyDescent="0.25">
      <c r="A32" s="162" t="s">
        <v>36</v>
      </c>
      <c r="B32" s="163" t="s">
        <v>7</v>
      </c>
      <c r="C32" s="164">
        <v>2</v>
      </c>
      <c r="D32" s="189">
        <f>ROUND(C32*Меню!$B$2,0)</f>
        <v>24</v>
      </c>
      <c r="E32" s="4">
        <f ca="1">COUNTIF('Раскладка Алтай'!A:N,'Список продуктов'!A32)</f>
        <v>2</v>
      </c>
      <c r="F32" s="190">
        <f t="shared" ca="1" si="0"/>
        <v>48</v>
      </c>
      <c r="G32">
        <f t="shared" si="1"/>
        <v>2.5714285714285716</v>
      </c>
    </row>
    <row r="33" spans="1:7" x14ac:dyDescent="0.25">
      <c r="A33" s="246" t="s">
        <v>35</v>
      </c>
      <c r="B33" s="247" t="s">
        <v>7</v>
      </c>
      <c r="C33" s="240">
        <v>0.44444444444444442</v>
      </c>
      <c r="D33" s="189">
        <f>ROUND(C33*Меню!$B$2,0)</f>
        <v>5</v>
      </c>
      <c r="E33" s="4">
        <f ca="1">COUNTIF('Раскладка Алтай'!A:N,'Список продуктов'!A33)</f>
        <v>2</v>
      </c>
      <c r="F33" s="190">
        <f t="shared" ca="1" si="0"/>
        <v>10</v>
      </c>
      <c r="G33">
        <f t="shared" si="1"/>
        <v>0.5714285714285714</v>
      </c>
    </row>
    <row r="34" spans="1:7" x14ac:dyDescent="0.25">
      <c r="A34" s="246" t="s">
        <v>37</v>
      </c>
      <c r="B34" s="247" t="s">
        <v>7</v>
      </c>
      <c r="C34" s="240">
        <f>1/'Раскладка Алтай'!$B$2</f>
        <v>8.3333333333333329E-2</v>
      </c>
      <c r="D34" s="189">
        <f>ROUND(C34*Меню!$B$2,0)</f>
        <v>1</v>
      </c>
      <c r="E34" s="4">
        <f ca="1">COUNTIF('Раскладка Алтай'!A:N,'Список продуктов'!A34)</f>
        <v>7</v>
      </c>
      <c r="F34" s="190">
        <f t="shared" ca="1" si="0"/>
        <v>7</v>
      </c>
      <c r="G34">
        <f t="shared" si="1"/>
        <v>0.10714285714285714</v>
      </c>
    </row>
    <row r="35" spans="1:7" x14ac:dyDescent="0.25">
      <c r="A35" s="162" t="s">
        <v>17</v>
      </c>
      <c r="B35" s="163" t="s">
        <v>7</v>
      </c>
      <c r="C35" s="186">
        <v>1</v>
      </c>
      <c r="D35" s="189">
        <f>ROUND(C35*Меню!$B$2,0)</f>
        <v>12</v>
      </c>
      <c r="E35" s="4">
        <f ca="1">COUNTIF('Раскладка Алтай'!A:N,'Список продуктов'!A35)</f>
        <v>2</v>
      </c>
      <c r="F35" s="190">
        <f t="shared" ca="1" si="0"/>
        <v>24</v>
      </c>
      <c r="G35">
        <f t="shared" si="1"/>
        <v>1.2857142857142858</v>
      </c>
    </row>
    <row r="36" spans="1:7" ht="30" x14ac:dyDescent="0.25">
      <c r="A36" s="188" t="s">
        <v>18</v>
      </c>
      <c r="B36" s="163" t="s">
        <v>7</v>
      </c>
      <c r="C36" s="186">
        <v>0.5</v>
      </c>
      <c r="D36" s="189">
        <f>ROUND(C36*Меню!$B$2,0)</f>
        <v>6</v>
      </c>
      <c r="E36" s="4">
        <f ca="1">COUNTIF('Раскладка Алтай'!A:N,'Список продуктов'!A36)</f>
        <v>2</v>
      </c>
      <c r="F36" s="190">
        <f t="shared" ca="1" si="0"/>
        <v>12</v>
      </c>
      <c r="G36">
        <f t="shared" si="1"/>
        <v>0.6428571428571429</v>
      </c>
    </row>
    <row r="37" spans="1:7" ht="30" x14ac:dyDescent="0.25">
      <c r="A37" s="188" t="s">
        <v>14</v>
      </c>
      <c r="B37" s="163" t="s">
        <v>7</v>
      </c>
      <c r="C37" s="186">
        <v>0.5</v>
      </c>
      <c r="D37" s="189">
        <f>ROUND(C37*Меню!$B$2,0)</f>
        <v>6</v>
      </c>
      <c r="E37" s="4">
        <f ca="1">COUNTIF('Раскладка Алтай'!A:N,'Список продуктов'!A37)</f>
        <v>2</v>
      </c>
      <c r="F37" s="190">
        <f t="shared" ca="1" si="0"/>
        <v>12</v>
      </c>
      <c r="G37">
        <f t="shared" si="1"/>
        <v>0.6428571428571429</v>
      </c>
    </row>
    <row r="38" spans="1:7" ht="30" x14ac:dyDescent="0.25">
      <c r="A38" s="188" t="s">
        <v>23</v>
      </c>
      <c r="B38" s="163" t="s">
        <v>7</v>
      </c>
      <c r="C38" s="186">
        <v>0.5</v>
      </c>
      <c r="D38" s="189">
        <f>ROUND(C38*Меню!$B$2,0)</f>
        <v>6</v>
      </c>
      <c r="E38" s="4">
        <f ca="1">COUNTIF('Раскладка Алтай'!A:N,'Список продуктов'!A38)</f>
        <v>1</v>
      </c>
      <c r="F38" s="190">
        <f t="shared" ca="1" si="0"/>
        <v>6</v>
      </c>
      <c r="G38">
        <f t="shared" si="1"/>
        <v>0.6428571428571429</v>
      </c>
    </row>
    <row r="39" spans="1:7" ht="30" x14ac:dyDescent="0.25">
      <c r="A39" s="188" t="s">
        <v>22</v>
      </c>
      <c r="B39" s="163" t="s">
        <v>7</v>
      </c>
      <c r="C39" s="186">
        <v>0.5</v>
      </c>
      <c r="D39" s="189">
        <f>ROUND(C39*Меню!$B$2,0)</f>
        <v>6</v>
      </c>
      <c r="E39" s="4">
        <f ca="1">COUNTIF('Раскладка Алтай'!A:N,'Список продуктов'!A39)</f>
        <v>2</v>
      </c>
      <c r="F39" s="190">
        <f t="shared" ca="1" si="0"/>
        <v>12</v>
      </c>
      <c r="G39">
        <f t="shared" si="1"/>
        <v>0.6428571428571429</v>
      </c>
    </row>
    <row r="40" spans="1:7" ht="30" x14ac:dyDescent="0.25">
      <c r="A40" s="188" t="s">
        <v>21</v>
      </c>
      <c r="B40" s="163" t="s">
        <v>7</v>
      </c>
      <c r="C40" s="186">
        <v>0.5</v>
      </c>
      <c r="D40" s="189">
        <f>ROUND(C40*Меню!$B$2,0)</f>
        <v>6</v>
      </c>
      <c r="E40" s="4">
        <f ca="1">COUNTIF('Раскладка Алтай'!A:N,'Список продуктов'!A40)</f>
        <v>1</v>
      </c>
      <c r="F40" s="190">
        <f t="shared" ca="1" si="0"/>
        <v>6</v>
      </c>
      <c r="G40">
        <f t="shared" si="1"/>
        <v>0.6428571428571429</v>
      </c>
    </row>
    <row r="41" spans="1:7" x14ac:dyDescent="0.25">
      <c r="A41" s="165" t="s">
        <v>20</v>
      </c>
      <c r="B41" s="166" t="s">
        <v>7</v>
      </c>
      <c r="C41" s="306">
        <f>(1/5)</f>
        <v>0.2</v>
      </c>
      <c r="D41" s="189">
        <f>ROUND(C41*Меню!$B$2,0)</f>
        <v>2</v>
      </c>
      <c r="E41" s="4">
        <f ca="1">COUNTIF('Раскладка Алтай'!A:N,'Список продуктов'!A41)</f>
        <v>6</v>
      </c>
      <c r="F41" s="190">
        <f t="shared" ca="1" si="0"/>
        <v>12</v>
      </c>
      <c r="G41">
        <f t="shared" si="1"/>
        <v>0.25714285714285717</v>
      </c>
    </row>
    <row r="42" spans="1:7" x14ac:dyDescent="0.25">
      <c r="A42" s="162" t="s">
        <v>5</v>
      </c>
      <c r="B42" s="163" t="s">
        <v>7</v>
      </c>
      <c r="C42" s="186">
        <v>2</v>
      </c>
      <c r="D42" s="189">
        <f>ROUND(C42*Меню!$B$2,0)</f>
        <v>24</v>
      </c>
      <c r="E42" s="4">
        <f ca="1">COUNTIF('Раскладка Алтай'!A:N,'Список продуктов'!A42)</f>
        <v>0</v>
      </c>
      <c r="F42" s="190">
        <f t="shared" ca="1" si="0"/>
        <v>0</v>
      </c>
      <c r="G42">
        <f t="shared" si="1"/>
        <v>2.5714285714285716</v>
      </c>
    </row>
    <row r="43" spans="1:7" x14ac:dyDescent="0.25">
      <c r="A43" s="244" t="s">
        <v>19</v>
      </c>
      <c r="B43" s="245" t="s">
        <v>7</v>
      </c>
      <c r="C43" s="248">
        <f>3/'Раскладка Алтай'!$B$2</f>
        <v>0.25</v>
      </c>
      <c r="D43" s="237">
        <f>ROUND(C43*Меню!$B$2,0)</f>
        <v>3</v>
      </c>
      <c r="E43" s="238">
        <f ca="1">COUNTIF('Раскладка Алтай'!A:N,'Список продуктов'!A43)</f>
        <v>8</v>
      </c>
      <c r="F43" s="239">
        <f t="shared" ca="1" si="0"/>
        <v>24</v>
      </c>
      <c r="G43">
        <f t="shared" si="1"/>
        <v>0.32142857142857145</v>
      </c>
    </row>
    <row r="44" spans="1:7" x14ac:dyDescent="0.25">
      <c r="A44" s="189" t="s">
        <v>73</v>
      </c>
      <c r="B44" s="4" t="s">
        <v>7</v>
      </c>
      <c r="C44" s="190">
        <v>2</v>
      </c>
      <c r="D44" s="237">
        <f>ROUND(C44*Меню!$B$2,0)</f>
        <v>24</v>
      </c>
      <c r="E44" s="238">
        <f ca="1">COUNTIF('Раскладка Алтай'!A:N,'Список продуктов'!A44)</f>
        <v>25</v>
      </c>
      <c r="F44" s="239">
        <f t="shared" ca="1" si="0"/>
        <v>600</v>
      </c>
      <c r="G44">
        <f t="shared" si="1"/>
        <v>2.5714285714285716</v>
      </c>
    </row>
    <row r="45" spans="1:7" x14ac:dyDescent="0.25">
      <c r="A45" s="246" t="s">
        <v>74</v>
      </c>
      <c r="B45" s="247" t="s">
        <v>6</v>
      </c>
      <c r="C45" s="240">
        <v>50</v>
      </c>
      <c r="D45" s="237">
        <f>ROUND(C45*Меню!$B$2,0)</f>
        <v>600</v>
      </c>
      <c r="E45" s="238">
        <f ca="1">COUNTIF('Раскладка Алтай'!A:N,'Список продуктов'!A45)</f>
        <v>9</v>
      </c>
      <c r="F45" s="239">
        <f t="shared" ca="1" si="0"/>
        <v>5400</v>
      </c>
      <c r="G45">
        <f t="shared" si="1"/>
        <v>64.285714285714292</v>
      </c>
    </row>
    <row r="46" spans="1:7" x14ac:dyDescent="0.25">
      <c r="A46" s="189" t="s">
        <v>78</v>
      </c>
      <c r="B46" s="247" t="s">
        <v>6</v>
      </c>
      <c r="C46" s="190">
        <v>50</v>
      </c>
      <c r="D46" s="237">
        <f>ROUND(C46*Меню!$B$2,0)</f>
        <v>600</v>
      </c>
      <c r="E46" s="238">
        <f ca="1">COUNTIF('Раскладка Алтай'!A:N,'Список продуктов'!A46)</f>
        <v>6</v>
      </c>
      <c r="F46" s="239">
        <f t="shared" ca="1" si="0"/>
        <v>3600</v>
      </c>
      <c r="G46">
        <f t="shared" si="1"/>
        <v>64.285714285714292</v>
      </c>
    </row>
    <row r="47" spans="1:7" x14ac:dyDescent="0.25">
      <c r="A47" s="189"/>
      <c r="B47" s="4"/>
      <c r="C47" s="190"/>
      <c r="D47" s="237">
        <f>ROUND(C47*Меню!$B$2,0)</f>
        <v>0</v>
      </c>
      <c r="E47" s="238">
        <f ca="1">COUNTIF('Раскладка Алтай'!A:N,'Список продуктов'!A47)</f>
        <v>45</v>
      </c>
      <c r="F47" s="239">
        <f t="shared" ca="1" si="0"/>
        <v>0</v>
      </c>
      <c r="G47">
        <f t="shared" si="1"/>
        <v>0</v>
      </c>
    </row>
    <row r="48" spans="1:7" x14ac:dyDescent="0.25">
      <c r="A48" s="189"/>
      <c r="B48" s="4"/>
      <c r="C48" s="190"/>
      <c r="D48" s="237">
        <f>ROUND(C48*Меню!$B$2,0)</f>
        <v>0</v>
      </c>
      <c r="E48" s="238">
        <f ca="1">COUNTIF('Раскладка Алтай'!A:N,'Список продуктов'!A48)</f>
        <v>45</v>
      </c>
      <c r="F48" s="239">
        <f t="shared" ca="1" si="0"/>
        <v>0</v>
      </c>
      <c r="G48">
        <f t="shared" si="1"/>
        <v>0</v>
      </c>
    </row>
    <row r="49" spans="1:7" x14ac:dyDescent="0.25">
      <c r="A49" s="189"/>
      <c r="B49" s="4"/>
      <c r="C49" s="190"/>
      <c r="D49" s="237">
        <f>ROUND(C49*Меню!$B$2,0)</f>
        <v>0</v>
      </c>
      <c r="E49" s="238">
        <f ca="1">COUNTIF('Раскладка Алтай'!A:N,'Список продуктов'!A49)</f>
        <v>45</v>
      </c>
      <c r="F49" s="239">
        <f t="shared" ca="1" si="0"/>
        <v>0</v>
      </c>
      <c r="G49">
        <f t="shared" si="1"/>
        <v>0</v>
      </c>
    </row>
    <row r="50" spans="1:7" x14ac:dyDescent="0.25">
      <c r="A50" s="189"/>
      <c r="B50" s="4"/>
      <c r="C50" s="190"/>
      <c r="D50" s="237">
        <f>ROUND(C50*Меню!$B$2,0)</f>
        <v>0</v>
      </c>
      <c r="E50" s="238">
        <f ca="1">COUNTIF('Раскладка Алтай'!A:N,'Список продуктов'!A50)</f>
        <v>45</v>
      </c>
      <c r="F50" s="239">
        <f t="shared" ca="1" si="0"/>
        <v>0</v>
      </c>
      <c r="G50">
        <f t="shared" si="1"/>
        <v>0</v>
      </c>
    </row>
    <row r="51" spans="1:7" x14ac:dyDescent="0.25">
      <c r="A51" s="189"/>
      <c r="B51" s="4"/>
      <c r="C51" s="190"/>
      <c r="D51" s="237">
        <f>ROUND(C51*Меню!$B$2,0)</f>
        <v>0</v>
      </c>
      <c r="E51" s="238">
        <f ca="1">COUNTIF('Раскладка Алтай'!A:N,'Список продуктов'!A51)</f>
        <v>45</v>
      </c>
      <c r="F51" s="239">
        <f t="shared" ca="1" si="0"/>
        <v>0</v>
      </c>
      <c r="G51">
        <f t="shared" si="1"/>
        <v>0</v>
      </c>
    </row>
    <row r="52" spans="1:7" x14ac:dyDescent="0.25">
      <c r="A52" s="189"/>
      <c r="B52" s="4"/>
      <c r="C52" s="190"/>
      <c r="D52" s="237">
        <f>ROUND(C52*Меню!$B$2,0)</f>
        <v>0</v>
      </c>
      <c r="E52" s="238">
        <f ca="1">COUNTIF('Раскладка Алтай'!A:N,'Список продуктов'!A52)</f>
        <v>45</v>
      </c>
      <c r="F52" s="239">
        <f t="shared" ca="1" si="0"/>
        <v>0</v>
      </c>
      <c r="G52">
        <f t="shared" si="1"/>
        <v>0</v>
      </c>
    </row>
    <row r="53" spans="1:7" x14ac:dyDescent="0.25">
      <c r="A53" s="189"/>
      <c r="B53" s="4"/>
      <c r="C53" s="190"/>
      <c r="D53" s="237">
        <f>ROUND(C53*Меню!$B$2,0)</f>
        <v>0</v>
      </c>
      <c r="E53" s="238">
        <f ca="1">COUNTIF('Раскладка Алтай'!A:N,'Список продуктов'!A53)</f>
        <v>45</v>
      </c>
      <c r="F53" s="239">
        <f t="shared" ca="1" si="0"/>
        <v>0</v>
      </c>
      <c r="G53">
        <f t="shared" si="1"/>
        <v>0</v>
      </c>
    </row>
    <row r="54" spans="1:7" x14ac:dyDescent="0.25">
      <c r="A54" s="189"/>
      <c r="B54" s="4"/>
      <c r="C54" s="190"/>
      <c r="D54" s="237">
        <f>ROUND(C54*Меню!$B$2,0)</f>
        <v>0</v>
      </c>
      <c r="E54" s="238">
        <f ca="1">COUNTIF('Раскладка Алтай'!A:N,'Список продуктов'!A54)</f>
        <v>45</v>
      </c>
      <c r="F54" s="239">
        <f t="shared" ca="1" si="0"/>
        <v>0</v>
      </c>
      <c r="G54">
        <f t="shared" si="1"/>
        <v>0</v>
      </c>
    </row>
    <row r="55" spans="1:7" x14ac:dyDescent="0.25">
      <c r="A55" s="189"/>
      <c r="B55" s="4"/>
      <c r="C55" s="190"/>
      <c r="D55" s="237">
        <f>ROUND(C55*Меню!$B$2,0)</f>
        <v>0</v>
      </c>
      <c r="E55" s="238">
        <f ca="1">COUNTIF('Раскладка Алтай'!A:N,'Список продуктов'!A55)</f>
        <v>45</v>
      </c>
      <c r="F55" s="239">
        <f t="shared" ca="1" si="0"/>
        <v>0</v>
      </c>
      <c r="G55">
        <f t="shared" si="1"/>
        <v>0</v>
      </c>
    </row>
    <row r="56" spans="1:7" x14ac:dyDescent="0.25">
      <c r="A56" s="189"/>
      <c r="B56" s="4"/>
      <c r="C56" s="190"/>
      <c r="D56" s="237">
        <f>ROUND(C56*Меню!$B$2,0)</f>
        <v>0</v>
      </c>
      <c r="E56" s="238">
        <f ca="1">COUNTIF('Раскладка Алтай'!A:N,'Список продуктов'!A56)</f>
        <v>45</v>
      </c>
      <c r="F56" s="239">
        <f t="shared" ca="1" si="0"/>
        <v>0</v>
      </c>
      <c r="G56">
        <f t="shared" si="1"/>
        <v>0</v>
      </c>
    </row>
    <row r="57" spans="1:7" x14ac:dyDescent="0.25">
      <c r="A57" s="189"/>
      <c r="B57" s="4"/>
      <c r="C57" s="190"/>
      <c r="D57" s="237">
        <f>ROUND(C57*Меню!$B$2,0)</f>
        <v>0</v>
      </c>
      <c r="E57" s="238">
        <f ca="1">COUNTIF('Раскладка Алтай'!A:N,'Список продуктов'!A57)</f>
        <v>45</v>
      </c>
      <c r="F57" s="239">
        <f t="shared" ca="1" si="0"/>
        <v>0</v>
      </c>
      <c r="G57">
        <f t="shared" si="1"/>
        <v>0</v>
      </c>
    </row>
    <row r="58" spans="1:7" x14ac:dyDescent="0.25">
      <c r="A58" s="189"/>
      <c r="B58" s="4"/>
      <c r="C58" s="190"/>
      <c r="D58" s="237">
        <f>ROUND(C58*Меню!$B$2,0)</f>
        <v>0</v>
      </c>
      <c r="E58" s="238">
        <f ca="1">COUNTIF('Раскладка Алтай'!A:N,'Список продуктов'!A58)</f>
        <v>45</v>
      </c>
      <c r="F58" s="239">
        <f t="shared" ca="1" si="0"/>
        <v>0</v>
      </c>
      <c r="G58">
        <f t="shared" si="1"/>
        <v>0</v>
      </c>
    </row>
    <row r="59" spans="1:7" x14ac:dyDescent="0.25">
      <c r="A59" s="189"/>
      <c r="B59" s="4"/>
      <c r="C59" s="190"/>
      <c r="D59" s="237">
        <f>ROUND(C59*Меню!$B$2,0)</f>
        <v>0</v>
      </c>
      <c r="E59" s="238">
        <f ca="1">COUNTIF('Раскладка Алтай'!A:N,'Список продуктов'!A59)</f>
        <v>45</v>
      </c>
      <c r="F59" s="239">
        <f t="shared" ca="1" si="0"/>
        <v>0</v>
      </c>
      <c r="G59">
        <f t="shared" si="1"/>
        <v>0</v>
      </c>
    </row>
    <row r="60" spans="1:7" x14ac:dyDescent="0.25">
      <c r="A60" s="189"/>
      <c r="B60" s="4"/>
      <c r="C60" s="190"/>
      <c r="D60" s="237">
        <f>ROUND(C60*Меню!$B$2,0)</f>
        <v>0</v>
      </c>
      <c r="E60" s="238">
        <f ca="1">COUNTIF('Раскладка Алтай'!A:N,'Список продуктов'!A60)</f>
        <v>45</v>
      </c>
      <c r="F60" s="239">
        <f t="shared" ca="1" si="0"/>
        <v>0</v>
      </c>
      <c r="G60">
        <f t="shared" si="1"/>
        <v>0</v>
      </c>
    </row>
    <row r="61" spans="1:7" x14ac:dyDescent="0.25">
      <c r="A61" s="189"/>
      <c r="B61" s="4"/>
      <c r="C61" s="190"/>
      <c r="D61" s="237">
        <f>ROUND(C61*Меню!$B$2,0)</f>
        <v>0</v>
      </c>
      <c r="E61" s="238">
        <f ca="1">COUNTIF('Раскладка Алтай'!A:N,'Список продуктов'!A61)</f>
        <v>45</v>
      </c>
      <c r="F61" s="239">
        <f t="shared" ca="1" si="0"/>
        <v>0</v>
      </c>
      <c r="G61">
        <f t="shared" si="1"/>
        <v>0</v>
      </c>
    </row>
    <row r="62" spans="1:7" x14ac:dyDescent="0.25">
      <c r="A62" s="189"/>
      <c r="B62" s="4"/>
      <c r="C62" s="190"/>
      <c r="D62" s="237">
        <f>ROUND(C62*Меню!$B$2,0)</f>
        <v>0</v>
      </c>
      <c r="E62" s="238">
        <f ca="1">COUNTIF('Раскладка Алтай'!A:N,'Список продуктов'!A62)</f>
        <v>45</v>
      </c>
      <c r="F62" s="239">
        <f t="shared" ca="1" si="0"/>
        <v>0</v>
      </c>
      <c r="G62">
        <f t="shared" si="1"/>
        <v>0</v>
      </c>
    </row>
    <row r="63" spans="1:7" x14ac:dyDescent="0.25">
      <c r="A63" s="189"/>
      <c r="B63" s="4"/>
      <c r="C63" s="190"/>
      <c r="D63" s="237">
        <f>ROUND(C63*Меню!$B$2,0)</f>
        <v>0</v>
      </c>
      <c r="E63" s="238">
        <f ca="1">COUNTIF('Раскладка Алтай'!A:N,'Список продуктов'!A63)</f>
        <v>45</v>
      </c>
      <c r="F63" s="239">
        <f t="shared" ca="1" si="0"/>
        <v>0</v>
      </c>
      <c r="G63">
        <f t="shared" si="1"/>
        <v>0</v>
      </c>
    </row>
    <row r="64" spans="1:7" x14ac:dyDescent="0.25">
      <c r="A64" s="189"/>
      <c r="B64" s="4"/>
      <c r="C64" s="190"/>
      <c r="D64" s="237">
        <f>ROUND(C64*Меню!$B$2,0)</f>
        <v>0</v>
      </c>
      <c r="E64" s="238">
        <f ca="1">COUNTIF('Раскладка Алтай'!A:N,'Список продуктов'!A64)</f>
        <v>45</v>
      </c>
      <c r="F64" s="239">
        <f t="shared" ca="1" si="0"/>
        <v>0</v>
      </c>
      <c r="G64">
        <f t="shared" si="1"/>
        <v>0</v>
      </c>
    </row>
    <row r="65" spans="1:7" ht="15.75" thickBot="1" x14ac:dyDescent="0.3">
      <c r="A65" s="191"/>
      <c r="B65" s="192"/>
      <c r="C65" s="193"/>
      <c r="D65" s="191">
        <f>ROUND(C65*Меню!$B$2,0)</f>
        <v>0</v>
      </c>
      <c r="E65" s="192">
        <f ca="1">COUNTIF('Раскладка Алтай'!A:N,'Список продуктов'!A65)</f>
        <v>45</v>
      </c>
      <c r="F65" s="193">
        <f t="shared" ca="1" si="0"/>
        <v>0</v>
      </c>
      <c r="G65">
        <f t="shared" si="1"/>
        <v>0</v>
      </c>
    </row>
  </sheetData>
  <autoFilter ref="A3:F3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Раскладка Алтай</vt:lpstr>
      <vt:lpstr>Закупка</vt:lpstr>
      <vt:lpstr>Меню</vt:lpstr>
      <vt:lpstr>Список продуктов</vt:lpstr>
      <vt:lpstr>День1</vt:lpstr>
      <vt:lpstr>День2</vt:lpstr>
      <vt:lpstr>День3</vt:lpstr>
      <vt:lpstr>День4</vt:lpstr>
      <vt:lpstr>День5</vt:lpstr>
      <vt:lpstr>Дни</vt:lpstr>
      <vt:lpstr>Завтрак</vt:lpstr>
      <vt:lpstr>обед</vt:lpstr>
      <vt:lpstr>Продукты</vt:lpstr>
      <vt:lpstr>ужин</vt:lpstr>
    </vt:vector>
  </TitlesOfParts>
  <Company>Johnson Control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ckiselta</dc:creator>
  <cp:lastModifiedBy>ckiselta</cp:lastModifiedBy>
  <dcterms:created xsi:type="dcterms:W3CDTF">2014-07-03T06:40:58Z</dcterms:created>
  <dcterms:modified xsi:type="dcterms:W3CDTF">2015-03-27T07:15:52Z</dcterms:modified>
</cp:coreProperties>
</file>